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RAMPWEB\"/>
    </mc:Choice>
  </mc:AlternateContent>
  <bookViews>
    <workbookView xWindow="0" yWindow="0" windowWidth="22830" windowHeight="10560" activeTab="1"/>
  </bookViews>
  <sheets>
    <sheet name="Project Schedule" sheetId="146" r:id="rId1"/>
    <sheet name="Report" sheetId="222" r:id="rId2"/>
    <sheet name="Tables" sheetId="147" r:id="rId3"/>
  </sheets>
  <definedNames>
    <definedName name="calcBestDuration">'Project Schedule'!$M$23</definedName>
    <definedName name="calcExpectedDuration">'Project Schedule'!$Q$23</definedName>
    <definedName name="calcMCDuration">'Project Schedule'!$Y$23</definedName>
    <definedName name="calcWorstDuration">'Project Schedule'!$U$23</definedName>
    <definedName name="dependencyColumn">'Project Schedule'!$E:$E</definedName>
    <definedName name="durationBestColumn">'Project Schedule'!$F:$F</definedName>
    <definedName name="durationExpectedColumn">'Project Schedule'!$G:$G</definedName>
    <definedName name="durationSampleColumn">'Project Schedule'!$I:$I</definedName>
    <definedName name="durationWorstColumn">'Project Schedule'!$H:$H</definedName>
    <definedName name="endDateColumn">'Project Schedule'!$L:$L</definedName>
    <definedName name="headerRow">'Project Schedule'!$5:$5</definedName>
    <definedName name="MCAnalysisColumn">'Project Schedule'!$AA:$AA</definedName>
    <definedName name="projectIDColumn">'Project Schedule'!$B:$B</definedName>
    <definedName name="projectStartDate">'Project Schedule'!$C$3</definedName>
    <definedName name="startBest">'Project Schedule'!$K:$K</definedName>
    <definedName name="startDateColumn">'Project Schedule'!$K:$K</definedName>
    <definedName name="startExp">'Project Schedule'!$O:$O</definedName>
    <definedName name="startMC">'Project Schedule'!$W:$W</definedName>
    <definedName name="startWorst">'Project Schedule'!$S:$S</definedName>
    <definedName name="taskIDColumn">'Project Schedule'!$C:$C</definedName>
    <definedName name="taskNameColumn">'Project Schedule'!$D:$D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47" l="1"/>
  <c r="F6" i="147" s="1"/>
  <c r="F7" i="147" s="1"/>
  <c r="F8" i="147" s="1"/>
  <c r="F9" i="147" s="1"/>
  <c r="F10" i="147" s="1"/>
  <c r="F11" i="147" s="1"/>
  <c r="F12" i="147" s="1"/>
  <c r="F13" i="147" s="1"/>
  <c r="F14" i="147" s="1"/>
  <c r="W8" i="146"/>
  <c r="S8" i="146"/>
  <c r="T8" i="146" s="1"/>
  <c r="U8" i="146" s="1"/>
  <c r="O8" i="146"/>
  <c r="P8" i="146" s="1"/>
  <c r="Q8" i="146" s="1"/>
  <c r="K8" i="146"/>
  <c r="L8" i="146" s="1"/>
  <c r="M8" i="146" s="1"/>
  <c r="W7" i="146"/>
  <c r="S7" i="146"/>
  <c r="T7" i="146" s="1"/>
  <c r="O7" i="146"/>
  <c r="P7" i="146" s="1"/>
  <c r="K7" i="146"/>
  <c r="L7" i="146" s="1"/>
  <c r="D4" i="147"/>
  <c r="C23" i="147"/>
  <c r="C19" i="147"/>
  <c r="C15" i="147"/>
  <c r="C11" i="147"/>
  <c r="C7" i="147"/>
  <c r="B23" i="147"/>
  <c r="B19" i="147"/>
  <c r="B15" i="147"/>
  <c r="B11" i="147"/>
  <c r="B7" i="147"/>
  <c r="G34" i="222"/>
  <c r="E42" i="222"/>
  <c r="E36" i="222"/>
  <c r="AF18" i="146"/>
  <c r="AF12" i="146"/>
  <c r="AD21" i="146"/>
  <c r="AD17" i="146"/>
  <c r="AD9" i="146"/>
  <c r="AC21" i="146"/>
  <c r="AC17" i="146"/>
  <c r="AC9" i="146"/>
  <c r="AB21" i="146"/>
  <c r="AB17" i="146"/>
  <c r="AB9" i="146"/>
  <c r="AA21" i="146"/>
  <c r="AA17" i="146"/>
  <c r="I20" i="146"/>
  <c r="I13" i="146"/>
  <c r="I12" i="146"/>
  <c r="C22" i="147"/>
  <c r="C18" i="147"/>
  <c r="C14" i="147"/>
  <c r="C10" i="147"/>
  <c r="C6" i="147"/>
  <c r="B22" i="147"/>
  <c r="B18" i="147"/>
  <c r="B14" i="147"/>
  <c r="B10" i="147"/>
  <c r="B6" i="147"/>
  <c r="G33" i="222"/>
  <c r="E41" i="222"/>
  <c r="AF21" i="146"/>
  <c r="AF17" i="146"/>
  <c r="AF9" i="146"/>
  <c r="AD20" i="146"/>
  <c r="AD14" i="146"/>
  <c r="AD8" i="146"/>
  <c r="AC20" i="146"/>
  <c r="AC14" i="146"/>
  <c r="AC8" i="146"/>
  <c r="AB20" i="146"/>
  <c r="AB14" i="146"/>
  <c r="AB8" i="146"/>
  <c r="AA20" i="146"/>
  <c r="AA14" i="146"/>
  <c r="AA8" i="146"/>
  <c r="I19" i="146"/>
  <c r="AA7" i="146"/>
  <c r="C21" i="147"/>
  <c r="C17" i="147"/>
  <c r="C13" i="147"/>
  <c r="C9" i="147"/>
  <c r="C5" i="147"/>
  <c r="B21" i="147"/>
  <c r="B17" i="147"/>
  <c r="B13" i="147"/>
  <c r="B9" i="147"/>
  <c r="B5" i="147"/>
  <c r="G32" i="222"/>
  <c r="E38" i="222"/>
  <c r="AF20" i="146"/>
  <c r="AF14" i="146"/>
  <c r="AF8" i="146"/>
  <c r="AD19" i="146"/>
  <c r="AD13" i="146"/>
  <c r="AD7" i="146"/>
  <c r="AC19" i="146"/>
  <c r="AC13" i="146"/>
  <c r="AC7" i="146"/>
  <c r="AB19" i="146"/>
  <c r="AB13" i="146"/>
  <c r="AB7" i="146"/>
  <c r="AA19" i="146"/>
  <c r="AA13" i="146"/>
  <c r="C20" i="147"/>
  <c r="C16" i="147"/>
  <c r="C12" i="147"/>
  <c r="C8" i="147"/>
  <c r="C4" i="147"/>
  <c r="B20" i="147"/>
  <c r="B16" i="147"/>
  <c r="B12" i="147"/>
  <c r="B8" i="147"/>
  <c r="B4" i="147"/>
  <c r="E43" i="222"/>
  <c r="E37" i="222"/>
  <c r="AF19" i="146"/>
  <c r="AF13" i="146"/>
  <c r="AF7" i="146"/>
  <c r="AD18" i="146"/>
  <c r="AD12" i="146"/>
  <c r="AC23" i="146"/>
  <c r="AC18" i="146"/>
  <c r="AC12" i="146"/>
  <c r="AB23" i="146"/>
  <c r="AB18" i="146"/>
  <c r="AB12" i="146"/>
  <c r="AA23" i="146"/>
  <c r="AA18" i="146"/>
  <c r="AA12" i="146"/>
  <c r="I21" i="146"/>
  <c r="I17" i="146"/>
  <c r="I9" i="146"/>
  <c r="AA9" i="146"/>
  <c r="I14" i="146"/>
  <c r="I8" i="146"/>
  <c r="I7" i="146"/>
  <c r="I18" i="146"/>
  <c r="F36" i="222" l="1"/>
  <c r="F37" i="222"/>
  <c r="F38" i="222"/>
  <c r="X8" i="146"/>
  <c r="Y8" i="146" s="1"/>
  <c r="F42" i="222"/>
  <c r="F43" i="222"/>
  <c r="X7" i="146"/>
  <c r="Y7" i="146" s="1"/>
  <c r="F41" i="222"/>
  <c r="S9" i="146"/>
  <c r="T9" i="146" s="1"/>
  <c r="U7" i="146"/>
  <c r="M7" i="146"/>
  <c r="K9" i="146"/>
  <c r="L9" i="146" s="1"/>
  <c r="Q7" i="146"/>
  <c r="O9" i="146"/>
  <c r="P9" i="146" s="1"/>
  <c r="AE21" i="146"/>
  <c r="AE20" i="146"/>
  <c r="AE19" i="146"/>
  <c r="AE18" i="146"/>
  <c r="AE17" i="146"/>
  <c r="AE14" i="146"/>
  <c r="AE13" i="146"/>
  <c r="AE12" i="146"/>
  <c r="AE9" i="146"/>
  <c r="AE8" i="146"/>
  <c r="AE7" i="146"/>
  <c r="D22" i="147"/>
  <c r="D18" i="147"/>
  <c r="D14" i="147"/>
  <c r="D10" i="147"/>
  <c r="D6" i="147"/>
  <c r="D12" i="147"/>
  <c r="D23" i="147"/>
  <c r="D11" i="147"/>
  <c r="D21" i="147"/>
  <c r="D17" i="147"/>
  <c r="D13" i="147"/>
  <c r="D9" i="147"/>
  <c r="D5" i="147"/>
  <c r="D20" i="147"/>
  <c r="D16" i="147"/>
  <c r="D8" i="147"/>
  <c r="D19" i="147"/>
  <c r="D15" i="147"/>
  <c r="D7" i="147"/>
  <c r="G14" i="147" l="1"/>
  <c r="I14" i="147" s="1"/>
  <c r="W9" i="146"/>
  <c r="X9" i="146" s="1"/>
  <c r="W12" i="146" s="1"/>
  <c r="X12" i="146" s="1"/>
  <c r="G13" i="147"/>
  <c r="I13" i="147" s="1"/>
  <c r="G10" i="147"/>
  <c r="G12" i="147"/>
  <c r="I12" i="147" s="1"/>
  <c r="G9" i="147"/>
  <c r="I9" i="147" s="1"/>
  <c r="G7" i="147"/>
  <c r="I7" i="147" s="1"/>
  <c r="G8" i="147"/>
  <c r="H8" i="147" s="1"/>
  <c r="G5" i="147"/>
  <c r="H5" i="147" s="1"/>
  <c r="G4" i="147"/>
  <c r="G11" i="147"/>
  <c r="I11" i="147" s="1"/>
  <c r="G6" i="147"/>
  <c r="O14" i="146"/>
  <c r="P14" i="146" s="1"/>
  <c r="Q14" i="146" s="1"/>
  <c r="O13" i="146"/>
  <c r="P13" i="146" s="1"/>
  <c r="Q13" i="146" s="1"/>
  <c r="O12" i="146"/>
  <c r="P12" i="146" s="1"/>
  <c r="Q9" i="146"/>
  <c r="O18" i="146"/>
  <c r="P18" i="146" s="1"/>
  <c r="M9" i="146"/>
  <c r="K18" i="146"/>
  <c r="L18" i="146" s="1"/>
  <c r="K14" i="146"/>
  <c r="L14" i="146" s="1"/>
  <c r="M14" i="146" s="1"/>
  <c r="K13" i="146"/>
  <c r="L13" i="146" s="1"/>
  <c r="M13" i="146" s="1"/>
  <c r="K12" i="146"/>
  <c r="L12" i="146" s="1"/>
  <c r="S18" i="146"/>
  <c r="T18" i="146" s="1"/>
  <c r="S14" i="146"/>
  <c r="T14" i="146" s="1"/>
  <c r="U14" i="146" s="1"/>
  <c r="S13" i="146"/>
  <c r="T13" i="146" s="1"/>
  <c r="U13" i="146" s="1"/>
  <c r="S12" i="146"/>
  <c r="T12" i="146" s="1"/>
  <c r="U9" i="146"/>
  <c r="H14" i="147" l="1"/>
  <c r="H12" i="147"/>
  <c r="W13" i="146"/>
  <c r="X13" i="146" s="1"/>
  <c r="Y13" i="146" s="1"/>
  <c r="W14" i="146"/>
  <c r="X14" i="146" s="1"/>
  <c r="Y14" i="146" s="1"/>
  <c r="Y9" i="146"/>
  <c r="W18" i="146"/>
  <c r="X18" i="146" s="1"/>
  <c r="Y18" i="146" s="1"/>
  <c r="H13" i="147"/>
  <c r="I5" i="147"/>
  <c r="H7" i="147"/>
  <c r="H9" i="147"/>
  <c r="H11" i="147"/>
  <c r="I8" i="147"/>
  <c r="I6" i="147"/>
  <c r="H6" i="147"/>
  <c r="I10" i="147"/>
  <c r="H10" i="147"/>
  <c r="H4" i="147"/>
  <c r="I4" i="147"/>
  <c r="Q18" i="146"/>
  <c r="M18" i="146"/>
  <c r="Q12" i="146"/>
  <c r="O17" i="146"/>
  <c r="P17" i="146" s="1"/>
  <c r="U18" i="146"/>
  <c r="S17" i="146"/>
  <c r="T17" i="146" s="1"/>
  <c r="U12" i="146"/>
  <c r="M12" i="146"/>
  <c r="K17" i="146"/>
  <c r="L17" i="146" s="1"/>
  <c r="Y12" i="146"/>
  <c r="W17" i="146" l="1"/>
  <c r="X17" i="146" s="1"/>
  <c r="Y17" i="146" s="1"/>
  <c r="Q17" i="146"/>
  <c r="O19" i="146"/>
  <c r="P19" i="146" s="1"/>
  <c r="M17" i="146"/>
  <c r="K19" i="146"/>
  <c r="L19" i="146" s="1"/>
  <c r="S19" i="146"/>
  <c r="T19" i="146" s="1"/>
  <c r="U17" i="146"/>
  <c r="W19" i="146" l="1"/>
  <c r="X19" i="146" s="1"/>
  <c r="Y19" i="146" s="1"/>
  <c r="M19" i="146"/>
  <c r="K20" i="146"/>
  <c r="L20" i="146" s="1"/>
  <c r="Q19" i="146"/>
  <c r="O20" i="146"/>
  <c r="P20" i="146" s="1"/>
  <c r="U19" i="146"/>
  <c r="S20" i="146"/>
  <c r="T20" i="146" s="1"/>
  <c r="W20" i="146" l="1"/>
  <c r="X20" i="146" s="1"/>
  <c r="Y20" i="146" s="1"/>
  <c r="M20" i="146"/>
  <c r="K21" i="146"/>
  <c r="L21" i="146" s="1"/>
  <c r="M21" i="146" s="1"/>
  <c r="U20" i="146"/>
  <c r="S21" i="146"/>
  <c r="T21" i="146" s="1"/>
  <c r="Q20" i="146"/>
  <c r="O21" i="146"/>
  <c r="P21" i="146" s="1"/>
  <c r="Q21" i="146" s="1"/>
  <c r="P23" i="146" l="1"/>
  <c r="Q23" i="146" s="1"/>
  <c r="E27" i="222" s="1"/>
  <c r="E32" i="222" s="1"/>
  <c r="W21" i="146"/>
  <c r="X21" i="146" s="1"/>
  <c r="Y21" i="146" s="1"/>
  <c r="U21" i="146"/>
  <c r="T23" i="146"/>
  <c r="L23" i="146"/>
  <c r="F27" i="222" l="1"/>
  <c r="F32" i="222" s="1"/>
  <c r="X23" i="146"/>
  <c r="Y23" i="146" s="1"/>
  <c r="M23" i="146"/>
  <c r="E28" i="222" s="1"/>
  <c r="F28" i="222"/>
  <c r="E34" i="222"/>
  <c r="E33" i="222"/>
  <c r="U23" i="146"/>
  <c r="E29" i="222" s="1"/>
  <c r="F29" i="222"/>
  <c r="F34" i="222" l="1"/>
  <c r="F33" i="222"/>
</calcChain>
</file>

<file path=xl/sharedStrings.xml><?xml version="1.0" encoding="utf-8"?>
<sst xmlns="http://schemas.openxmlformats.org/spreadsheetml/2006/main" count="108" uniqueCount="81">
  <si>
    <t>Start Date</t>
  </si>
  <si>
    <t>Duration</t>
  </si>
  <si>
    <t>Min</t>
  </si>
  <si>
    <t>Expected</t>
  </si>
  <si>
    <t>Max</t>
  </si>
  <si>
    <t>Best</t>
  </si>
  <si>
    <t>Worst</t>
  </si>
  <si>
    <t>Sample</t>
  </si>
  <si>
    <t>Mean</t>
  </si>
  <si>
    <t>A</t>
  </si>
  <si>
    <t>B</t>
  </si>
  <si>
    <t>C</t>
  </si>
  <si>
    <t>Name</t>
  </si>
  <si>
    <t>Planning</t>
  </si>
  <si>
    <t>Plan Review</t>
  </si>
  <si>
    <t>Construction Plan</t>
  </si>
  <si>
    <t>Hiring Plan</t>
  </si>
  <si>
    <t>Construction</t>
  </si>
  <si>
    <t>Review</t>
  </si>
  <si>
    <t>Internal Review</t>
  </si>
  <si>
    <t>Compliance / Completion</t>
  </si>
  <si>
    <t>Compliance Review</t>
  </si>
  <si>
    <t>Construction: Task 1</t>
  </si>
  <si>
    <t>Construction: Task 2</t>
  </si>
  <si>
    <t>Construction: Task 3</t>
  </si>
  <si>
    <t>Start</t>
  </si>
  <si>
    <t>Project ID</t>
  </si>
  <si>
    <t>Task ID</t>
  </si>
  <si>
    <t>Project Review</t>
  </si>
  <si>
    <t>Construction Review</t>
  </si>
  <si>
    <t>R2</t>
  </si>
  <si>
    <t>Completion Time</t>
  </si>
  <si>
    <t>Probability</t>
  </si>
  <si>
    <t>Cumulative</t>
  </si>
  <si>
    <t>Original Model</t>
  </si>
  <si>
    <t>Date</t>
  </si>
  <si>
    <t>Days</t>
  </si>
  <si>
    <t>Expected Completion</t>
  </si>
  <si>
    <t>Best-Case</t>
  </si>
  <si>
    <t>Worst-Case</t>
  </si>
  <si>
    <t xml:space="preserve"> - within 10% overrun</t>
  </si>
  <si>
    <t xml:space="preserve"> - within 20% overrun</t>
  </si>
  <si>
    <t>A.100</t>
  </si>
  <si>
    <t>A.200</t>
  </si>
  <si>
    <t>A.300</t>
  </si>
  <si>
    <t>B.100</t>
  </si>
  <si>
    <t>B.200</t>
  </si>
  <si>
    <t>B.300</t>
  </si>
  <si>
    <t>C.100</t>
  </si>
  <si>
    <t>C.200</t>
  </si>
  <si>
    <t>C.300</t>
  </si>
  <si>
    <t>C.400</t>
  </si>
  <si>
    <t>C.500</t>
  </si>
  <si>
    <t>A.100, A.200</t>
  </si>
  <si>
    <t>B.100,B.200,B.300</t>
  </si>
  <si>
    <t>C.200, C.400</t>
  </si>
  <si>
    <t>Dependencies</t>
  </si>
  <si>
    <t>Best Case</t>
  </si>
  <si>
    <t>End</t>
  </si>
  <si>
    <t>Worst Case</t>
  </si>
  <si>
    <t>MC Analysis</t>
  </si>
  <si>
    <t>Completion Date</t>
  </si>
  <si>
    <t>C.100, A.300</t>
  </si>
  <si>
    <t>C.200, C.300</t>
  </si>
  <si>
    <t>Rank</t>
  </si>
  <si>
    <t>Sorted R2 Values</t>
  </si>
  <si>
    <t>Index</t>
  </si>
  <si>
    <t>Row</t>
  </si>
  <si>
    <t>Label</t>
  </si>
  <si>
    <t>Value</t>
  </si>
  <si>
    <t>Histogram Data</t>
  </si>
  <si>
    <t>Confidence Ranges</t>
  </si>
  <si>
    <t>90% Confidence</t>
  </si>
  <si>
    <t>80% Confidence</t>
  </si>
  <si>
    <t>75% Confidence</t>
  </si>
  <si>
    <t>Probability Analysis</t>
  </si>
  <si>
    <t>Completion within "Expected"</t>
  </si>
  <si>
    <t>MC Simulation</t>
  </si>
  <si>
    <t>Minimum</t>
  </si>
  <si>
    <t>Maximum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</si>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</sst>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0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9" fontId="0" fillId="0" borderId="0" xfId="0" applyNumberFormat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9" fontId="0" fillId="0" borderId="0" xfId="1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0" xfId="0" applyFill="1"/>
    <xf numFmtId="0" fontId="0" fillId="3" borderId="1" xfId="0" applyFill="1" applyBorder="1"/>
    <xf numFmtId="0" fontId="0" fillId="4" borderId="0" xfId="0" applyFill="1"/>
    <xf numFmtId="0" fontId="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4" borderId="0" xfId="0" applyFill="1" applyAlignment="1">
      <alignment horizontal="left"/>
    </xf>
    <xf numFmtId="14" fontId="0" fillId="4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4" xfId="0" applyFill="1" applyBorder="1"/>
    <xf numFmtId="0" fontId="0" fillId="2" borderId="4" xfId="0" applyFill="1" applyBorder="1" applyAlignment="1">
      <alignment horizontal="left"/>
    </xf>
    <xf numFmtId="14" fontId="0" fillId="2" borderId="4" xfId="0" applyNumberFormat="1" applyFill="1" applyBorder="1" applyAlignment="1">
      <alignment horizontal="left"/>
    </xf>
    <xf numFmtId="0" fontId="0" fillId="4" borderId="4" xfId="0" applyFill="1" applyBorder="1"/>
    <xf numFmtId="0" fontId="0" fillId="4" borderId="4" xfId="0" applyFill="1" applyBorder="1" applyAlignment="1">
      <alignment horizontal="left"/>
    </xf>
    <xf numFmtId="14" fontId="0" fillId="4" borderId="4" xfId="0" applyNumberFormat="1" applyFill="1" applyBorder="1" applyAlignment="1">
      <alignment horizontal="left"/>
    </xf>
    <xf numFmtId="164" fontId="0" fillId="4" borderId="4" xfId="0" applyNumberFormat="1" applyFill="1" applyBorder="1" applyAlignment="1">
      <alignment horizontal="left"/>
    </xf>
    <xf numFmtId="164" fontId="0" fillId="2" borderId="4" xfId="0" applyNumberFormat="1" applyFill="1" applyBorder="1" applyAlignment="1">
      <alignment horizontal="left"/>
    </xf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1" fontId="0" fillId="5" borderId="0" xfId="0" applyNumberFormat="1" applyFill="1" applyBorder="1" applyAlignment="1">
      <alignment horizontal="center"/>
    </xf>
    <xf numFmtId="14" fontId="0" fillId="5" borderId="0" xfId="0" applyNumberFormat="1" applyFill="1" applyBorder="1" applyAlignment="1">
      <alignment horizontal="center"/>
    </xf>
    <xf numFmtId="14" fontId="0" fillId="5" borderId="0" xfId="1" applyNumberFormat="1" applyFont="1" applyFill="1" applyBorder="1" applyAlignment="1">
      <alignment horizontal="center"/>
    </xf>
    <xf numFmtId="9" fontId="0" fillId="5" borderId="0" xfId="1" applyFont="1" applyFill="1" applyBorder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1" fontId="0" fillId="6" borderId="0" xfId="0" applyNumberFormat="1" applyFill="1" applyBorder="1" applyAlignment="1">
      <alignment horizontal="center"/>
    </xf>
    <xf numFmtId="14" fontId="0" fillId="6" borderId="0" xfId="0" applyNumberFormat="1" applyFill="1" applyBorder="1" applyAlignment="1">
      <alignment horizontal="center"/>
    </xf>
    <xf numFmtId="14" fontId="0" fillId="6" borderId="0" xfId="1" applyNumberFormat="1" applyFont="1" applyFill="1" applyBorder="1" applyAlignment="1">
      <alignment horizontal="center"/>
    </xf>
    <xf numFmtId="166" fontId="0" fillId="6" borderId="0" xfId="0" applyNumberFormat="1" applyFill="1" applyBorder="1"/>
    <xf numFmtId="9" fontId="0" fillId="6" borderId="0" xfId="1" applyFont="1" applyFill="1" applyBorder="1"/>
    <xf numFmtId="165" fontId="0" fillId="5" borderId="0" xfId="0" applyNumberFormat="1" applyFill="1" applyBorder="1"/>
    <xf numFmtId="165" fontId="0" fillId="5" borderId="0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" fontId="0" fillId="2" borderId="0" xfId="0" applyNumberForma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14" fontId="0" fillId="2" borderId="0" xfId="1" applyNumberFormat="1" applyFont="1" applyFill="1" applyBorder="1" applyAlignment="1">
      <alignment horizontal="center"/>
    </xf>
    <xf numFmtId="166" fontId="0" fillId="2" borderId="0" xfId="0" applyNumberFormat="1" applyFill="1" applyBorder="1"/>
    <xf numFmtId="9" fontId="0" fillId="2" borderId="0" xfId="1" applyFont="1" applyFill="1" applyBorder="1"/>
    <xf numFmtId="0" fontId="0" fillId="2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9" fontId="0" fillId="2" borderId="4" xfId="1" applyFont="1" applyFill="1" applyBorder="1"/>
    <xf numFmtId="0" fontId="0" fillId="4" borderId="4" xfId="0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4" fontId="0" fillId="4" borderId="4" xfId="0" applyNumberFormat="1" applyFill="1" applyBorder="1" applyAlignment="1">
      <alignment horizontal="center"/>
    </xf>
    <xf numFmtId="14" fontId="0" fillId="4" borderId="4" xfId="1" applyNumberFormat="1" applyFont="1" applyFill="1" applyBorder="1" applyAlignment="1">
      <alignment horizontal="center"/>
    </xf>
    <xf numFmtId="9" fontId="0" fillId="4" borderId="4" xfId="1" applyFont="1" applyFill="1" applyBorder="1"/>
    <xf numFmtId="1" fontId="0" fillId="2" borderId="4" xfId="0" applyNumberFormat="1" applyFill="1" applyBorder="1"/>
    <xf numFmtId="14" fontId="0" fillId="2" borderId="5" xfId="0" applyNumberFormat="1" applyFill="1" applyBorder="1" applyAlignment="1">
      <alignment horizontal="center"/>
    </xf>
    <xf numFmtId="14" fontId="0" fillId="2" borderId="5" xfId="1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1" xfId="1" applyNumberFormat="1" applyFont="1" applyFill="1" applyBorder="1" applyAlignment="1">
      <alignment horizontal="center"/>
    </xf>
    <xf numFmtId="166" fontId="0" fillId="2" borderId="1" xfId="0" applyNumberFormat="1" applyFill="1" applyBorder="1"/>
    <xf numFmtId="9" fontId="0" fillId="2" borderId="1" xfId="1" applyFont="1" applyFill="1" applyBorder="1"/>
    <xf numFmtId="1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" fontId="0" fillId="2" borderId="4" xfId="0" applyNumberForma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9" fontId="0" fillId="5" borderId="0" xfId="1" applyFont="1" applyFill="1" applyBorder="1" applyAlignment="1">
      <alignment horizontal="center"/>
    </xf>
    <xf numFmtId="166" fontId="0" fillId="2" borderId="4" xfId="0" applyNumberFormat="1" applyFill="1" applyBorder="1" applyAlignment="1">
      <alignment horizontal="center"/>
    </xf>
    <xf numFmtId="9" fontId="0" fillId="2" borderId="4" xfId="1" applyFont="1" applyFill="1" applyBorder="1" applyAlignment="1">
      <alignment horizontal="center"/>
    </xf>
    <xf numFmtId="166" fontId="0" fillId="4" borderId="4" xfId="0" applyNumberFormat="1" applyFill="1" applyBorder="1" applyAlignment="1">
      <alignment horizontal="center"/>
    </xf>
    <xf numFmtId="9" fontId="0" fillId="4" borderId="4" xfId="1" applyFon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9" fontId="0" fillId="2" borderId="0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3"/>
    </xf>
    <xf numFmtId="0" fontId="0" fillId="4" borderId="0" xfId="0" applyFill="1" applyAlignment="1">
      <alignment horizontal="left" indent="3"/>
    </xf>
    <xf numFmtId="0" fontId="0" fillId="2" borderId="4" xfId="0" applyFill="1" applyBorder="1" applyAlignment="1">
      <alignment horizontal="left" indent="3"/>
    </xf>
    <xf numFmtId="0" fontId="0" fillId="4" borderId="4" xfId="0" applyFill="1" applyBorder="1" applyAlignment="1">
      <alignment horizontal="left" indent="3"/>
    </xf>
    <xf numFmtId="0" fontId="0" fillId="2" borderId="0" xfId="0" applyFill="1" applyAlignment="1">
      <alignment horizontal="left" indent="3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Contribution to Overall Project Variance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38100" dir="5400000" algn="t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>
                <a:outerShdw blurRad="50800" dist="38100" dir="5400000" algn="t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solidFill>
                <a:schemeClr val="bg1">
                  <a:alpha val="9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Tables!$H$4:$H$14</c:f>
              <c:strCache>
                <c:ptCount val="11"/>
                <c:pt idx="0">
                  <c:v>Internal Review</c:v>
                </c:pt>
                <c:pt idx="1">
                  <c:v>Construction: Task 3</c:v>
                </c:pt>
                <c:pt idx="2">
                  <c:v>Project Review</c:v>
                </c:pt>
                <c:pt idx="3">
                  <c:v>Hiring Plan</c:v>
                </c:pt>
                <c:pt idx="4">
                  <c:v>Plan Review</c:v>
                </c:pt>
                <c:pt idx="5">
                  <c:v>Construction Plan</c:v>
                </c:pt>
                <c:pt idx="6">
                  <c:v>Construction: Task 1</c:v>
                </c:pt>
                <c:pt idx="7">
                  <c:v>Construction: Task 2</c:v>
                </c:pt>
                <c:pt idx="8">
                  <c:v>Construction Review</c:v>
                </c:pt>
                <c:pt idx="9">
                  <c:v>Compliance Review</c:v>
                </c:pt>
                <c:pt idx="10">
                  <c:v>Compliance / Completion</c:v>
                </c:pt>
              </c:strCache>
            </c:strRef>
          </c:cat>
          <c:val>
            <c:numRef>
              <c:f>Tables!$I$4:$I$14</c:f>
              <c:numCache>
                <c:formatCode>0%</c:formatCode>
                <c:ptCount val="11"/>
                <c:pt idx="0">
                  <c:v>8.0454326521944451E-4</c:v>
                </c:pt>
                <c:pt idx="1">
                  <c:v>4.3473435152098184E-3</c:v>
                </c:pt>
                <c:pt idx="2">
                  <c:v>9.4425721524158436E-3</c:v>
                </c:pt>
                <c:pt idx="3">
                  <c:v>2.6699320311694929E-2</c:v>
                </c:pt>
                <c:pt idx="4">
                  <c:v>4.3367746494818352E-2</c:v>
                </c:pt>
                <c:pt idx="5">
                  <c:v>4.5626623997582931E-2</c:v>
                </c:pt>
                <c:pt idx="6">
                  <c:v>5.8921331248709394E-2</c:v>
                </c:pt>
                <c:pt idx="7">
                  <c:v>0.10706931279518836</c:v>
                </c:pt>
                <c:pt idx="8">
                  <c:v>0.2066885695216544</c:v>
                </c:pt>
                <c:pt idx="9">
                  <c:v>0.21982807804232926</c:v>
                </c:pt>
                <c:pt idx="10">
                  <c:v>0.24562982049853932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/>
            </a:pPr>
            <a:r>
              <a:rPr lang="en-US" sz="1400" b="0"/>
              <a:t>Project Completion Time: Cumulative Probability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effectLst>
              <a:outerShdw blurRad="50800" dist="38100" dir="5400000" algn="t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Tables!$B$4:$B$23</c:f>
              <c:numCache>
                <c:formatCode>General</c:formatCode>
                <c:ptCount val="20"/>
                <c:pt idx="0">
                  <c:v>210</c:v>
                </c:pt>
                <c:pt idx="1">
                  <c:v>217</c:v>
                </c:pt>
                <c:pt idx="2">
                  <c:v>224</c:v>
                </c:pt>
                <c:pt idx="3">
                  <c:v>231</c:v>
                </c:pt>
                <c:pt idx="4">
                  <c:v>238</c:v>
                </c:pt>
                <c:pt idx="5">
                  <c:v>245</c:v>
                </c:pt>
                <c:pt idx="6">
                  <c:v>252</c:v>
                </c:pt>
                <c:pt idx="7">
                  <c:v>259</c:v>
                </c:pt>
                <c:pt idx="8">
                  <c:v>266</c:v>
                </c:pt>
                <c:pt idx="9">
                  <c:v>273</c:v>
                </c:pt>
                <c:pt idx="10">
                  <c:v>280</c:v>
                </c:pt>
                <c:pt idx="11">
                  <c:v>287</c:v>
                </c:pt>
                <c:pt idx="12">
                  <c:v>294</c:v>
                </c:pt>
                <c:pt idx="13">
                  <c:v>301</c:v>
                </c:pt>
                <c:pt idx="14">
                  <c:v>308</c:v>
                </c:pt>
                <c:pt idx="15">
                  <c:v>315</c:v>
                </c:pt>
                <c:pt idx="16">
                  <c:v>322</c:v>
                </c:pt>
                <c:pt idx="17">
                  <c:v>329</c:v>
                </c:pt>
                <c:pt idx="18">
                  <c:v>336</c:v>
                </c:pt>
                <c:pt idx="19">
                  <c:v>343</c:v>
                </c:pt>
              </c:numCache>
            </c:numRef>
          </c:cat>
          <c:val>
            <c:numRef>
              <c:f>Tables!$D$4:$D$23</c:f>
              <c:numCache>
                <c:formatCode>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2E-3</c:v>
                </c:pt>
                <c:pt idx="3">
                  <c:v>5.0000000000000001E-3</c:v>
                </c:pt>
                <c:pt idx="4">
                  <c:v>2.5000000000000001E-2</c:v>
                </c:pt>
                <c:pt idx="5">
                  <c:v>7.5999999999999998E-2</c:v>
                </c:pt>
                <c:pt idx="6">
                  <c:v>0.152</c:v>
                </c:pt>
                <c:pt idx="7">
                  <c:v>0.246</c:v>
                </c:pt>
                <c:pt idx="8">
                  <c:v>0.39400000000000002</c:v>
                </c:pt>
                <c:pt idx="9">
                  <c:v>0.54100000000000004</c:v>
                </c:pt>
                <c:pt idx="10">
                  <c:v>0.66500000000000004</c:v>
                </c:pt>
                <c:pt idx="11">
                  <c:v>0.78800000000000003</c:v>
                </c:pt>
                <c:pt idx="12">
                  <c:v>0.878</c:v>
                </c:pt>
                <c:pt idx="13">
                  <c:v>0.94300000000000006</c:v>
                </c:pt>
                <c:pt idx="14">
                  <c:v>0.97200000000000009</c:v>
                </c:pt>
                <c:pt idx="15">
                  <c:v>0.9890000000000001</c:v>
                </c:pt>
                <c:pt idx="16">
                  <c:v>0.99400000000000011</c:v>
                </c:pt>
                <c:pt idx="17">
                  <c:v>0.99800000000000011</c:v>
                </c:pt>
                <c:pt idx="18">
                  <c:v>0.99800000000000011</c:v>
                </c:pt>
                <c:pt idx="19">
                  <c:v>0.99800000000000011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95"/>
        <c:axId val="504886384"/>
        <c:axId val="504886776"/>
      </c:barChart>
      <c:catAx>
        <c:axId val="5048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504886776"/>
        <c:crosses val="autoZero"/>
        <c:auto val="1"/>
        <c:lblAlgn val="ctr"/>
        <c:lblOffset val="100"/>
        <c:noMultiLvlLbl val="0"/>
      </c:catAx>
      <c:valAx>
        <c:axId val="5048867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Text" lastClr="000000">
                  <a:tint val="75000"/>
                  <a:alpha val="50000"/>
                </a:sysClr>
              </a:solidFill>
              <a:prstDash val="solid"/>
              <a:round/>
            </a:ln>
            <a:effectLst>
              <a:outerShdw blurRad="50800" dist="38100" dir="5400000" algn="t">
                <a:prstClr val="black">
                  <a:alpha val="40000"/>
                </a:prstClr>
              </a:outerShdw>
            </a:effectLst>
            <a:extLst/>
          </c:spPr>
        </c:majorGridlines>
        <c:numFmt formatCode="0%" sourceLinked="1"/>
        <c:majorTickMark val="out"/>
        <c:minorTickMark val="none"/>
        <c:tickLblPos val="nextTo"/>
        <c:crossAx val="504886384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tx1">
          <a:lumMod val="50000"/>
          <a:lumOff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95250</xdr:rowOff>
    </xdr:from>
    <xdr:to>
      <xdr:col>3</xdr:col>
      <xdr:colOff>0</xdr:colOff>
      <xdr:row>1</xdr:row>
      <xdr:rowOff>95250</xdr:rowOff>
    </xdr:to>
    <xdr:cxnSp macro="">
      <xdr:nvCxnSpPr>
        <xdr:cNvPr id="2" name="Elbow Connector 1"/>
        <xdr:cNvCxnSpPr/>
      </xdr:nvCxnSpPr>
      <xdr:spPr>
        <a:xfrm>
          <a:off x="1724025" y="285750"/>
          <a:ext cx="609600" cy="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</xdr:row>
      <xdr:rowOff>95250</xdr:rowOff>
    </xdr:from>
    <xdr:to>
      <xdr:col>3</xdr:col>
      <xdr:colOff>0</xdr:colOff>
      <xdr:row>2</xdr:row>
      <xdr:rowOff>95250</xdr:rowOff>
    </xdr:to>
    <xdr:cxnSp macro="">
      <xdr:nvCxnSpPr>
        <xdr:cNvPr id="3" name="Elbow Connector 2"/>
        <xdr:cNvCxnSpPr/>
      </xdr:nvCxnSpPr>
      <xdr:spPr>
        <a:xfrm flipV="1">
          <a:off x="1724025" y="285750"/>
          <a:ext cx="609600" cy="1905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95250</xdr:rowOff>
    </xdr:from>
    <xdr:to>
      <xdr:col>5</xdr:col>
      <xdr:colOff>0</xdr:colOff>
      <xdr:row>1</xdr:row>
      <xdr:rowOff>95250</xdr:rowOff>
    </xdr:to>
    <xdr:cxnSp macro="">
      <xdr:nvCxnSpPr>
        <xdr:cNvPr id="4" name="Elbow Connector 3"/>
        <xdr:cNvCxnSpPr/>
      </xdr:nvCxnSpPr>
      <xdr:spPr>
        <a:xfrm>
          <a:off x="3124200" y="285750"/>
          <a:ext cx="609600" cy="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95250</xdr:rowOff>
    </xdr:from>
    <xdr:to>
      <xdr:col>5</xdr:col>
      <xdr:colOff>0</xdr:colOff>
      <xdr:row>2</xdr:row>
      <xdr:rowOff>95250</xdr:rowOff>
    </xdr:to>
    <xdr:cxnSp macro="">
      <xdr:nvCxnSpPr>
        <xdr:cNvPr id="5" name="Elbow Connector 4"/>
        <xdr:cNvCxnSpPr/>
      </xdr:nvCxnSpPr>
      <xdr:spPr>
        <a:xfrm>
          <a:off x="3124200" y="285750"/>
          <a:ext cx="609600" cy="1905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95250</xdr:rowOff>
    </xdr:from>
    <xdr:to>
      <xdr:col>5</xdr:col>
      <xdr:colOff>0</xdr:colOff>
      <xdr:row>3</xdr:row>
      <xdr:rowOff>95250</xdr:rowOff>
    </xdr:to>
    <xdr:cxnSp macro="">
      <xdr:nvCxnSpPr>
        <xdr:cNvPr id="6" name="Elbow Connector 5"/>
        <xdr:cNvCxnSpPr/>
      </xdr:nvCxnSpPr>
      <xdr:spPr>
        <a:xfrm>
          <a:off x="3124200" y="285750"/>
          <a:ext cx="609600" cy="3810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95250</xdr:rowOff>
    </xdr:from>
    <xdr:to>
      <xdr:col>7</xdr:col>
      <xdr:colOff>0</xdr:colOff>
      <xdr:row>1</xdr:row>
      <xdr:rowOff>95250</xdr:rowOff>
    </xdr:to>
    <xdr:cxnSp macro="">
      <xdr:nvCxnSpPr>
        <xdr:cNvPr id="7" name="Elbow Connector 6"/>
        <xdr:cNvCxnSpPr/>
      </xdr:nvCxnSpPr>
      <xdr:spPr>
        <a:xfrm>
          <a:off x="4991100" y="285750"/>
          <a:ext cx="609600" cy="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95250</xdr:rowOff>
    </xdr:from>
    <xdr:to>
      <xdr:col>7</xdr:col>
      <xdr:colOff>0</xdr:colOff>
      <xdr:row>2</xdr:row>
      <xdr:rowOff>95250</xdr:rowOff>
    </xdr:to>
    <xdr:cxnSp macro="">
      <xdr:nvCxnSpPr>
        <xdr:cNvPr id="8" name="Elbow Connector 7"/>
        <xdr:cNvCxnSpPr/>
      </xdr:nvCxnSpPr>
      <xdr:spPr>
        <a:xfrm flipV="1">
          <a:off x="4991100" y="285750"/>
          <a:ext cx="609600" cy="1905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</xdr:row>
      <xdr:rowOff>95250</xdr:rowOff>
    </xdr:from>
    <xdr:to>
      <xdr:col>7</xdr:col>
      <xdr:colOff>0</xdr:colOff>
      <xdr:row>3</xdr:row>
      <xdr:rowOff>95250</xdr:rowOff>
    </xdr:to>
    <xdr:cxnSp macro="">
      <xdr:nvCxnSpPr>
        <xdr:cNvPr id="9" name="Elbow Connector 8"/>
        <xdr:cNvCxnSpPr/>
      </xdr:nvCxnSpPr>
      <xdr:spPr>
        <a:xfrm flipV="1">
          <a:off x="4991100" y="285750"/>
          <a:ext cx="609600" cy="3810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95250</xdr:rowOff>
    </xdr:from>
    <xdr:to>
      <xdr:col>5</xdr:col>
      <xdr:colOff>0</xdr:colOff>
      <xdr:row>5</xdr:row>
      <xdr:rowOff>95250</xdr:rowOff>
    </xdr:to>
    <xdr:cxnSp macro="">
      <xdr:nvCxnSpPr>
        <xdr:cNvPr id="10" name="Elbow Connector 9"/>
        <xdr:cNvCxnSpPr/>
      </xdr:nvCxnSpPr>
      <xdr:spPr>
        <a:xfrm>
          <a:off x="3124200" y="285750"/>
          <a:ext cx="609600" cy="7620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</xdr:row>
      <xdr:rowOff>95250</xdr:rowOff>
    </xdr:from>
    <xdr:to>
      <xdr:col>9</xdr:col>
      <xdr:colOff>0</xdr:colOff>
      <xdr:row>4</xdr:row>
      <xdr:rowOff>95250</xdr:rowOff>
    </xdr:to>
    <xdr:cxnSp macro="">
      <xdr:nvCxnSpPr>
        <xdr:cNvPr id="11" name="Elbow Connector 10"/>
        <xdr:cNvCxnSpPr/>
      </xdr:nvCxnSpPr>
      <xdr:spPr>
        <a:xfrm>
          <a:off x="6905625" y="285750"/>
          <a:ext cx="609600" cy="5715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</xdr:row>
      <xdr:rowOff>95250</xdr:rowOff>
    </xdr:from>
    <xdr:to>
      <xdr:col>9</xdr:col>
      <xdr:colOff>0</xdr:colOff>
      <xdr:row>4</xdr:row>
      <xdr:rowOff>95250</xdr:rowOff>
    </xdr:to>
    <xdr:cxnSp macro="">
      <xdr:nvCxnSpPr>
        <xdr:cNvPr id="12" name="Elbow Connector 11"/>
        <xdr:cNvCxnSpPr/>
      </xdr:nvCxnSpPr>
      <xdr:spPr>
        <a:xfrm>
          <a:off x="3124200" y="285750"/>
          <a:ext cx="4391025" cy="571500"/>
        </a:xfrm>
        <a:prstGeom prst="bentConnector3">
          <a:avLst>
            <a:gd name="adj1" fmla="val 6941"/>
          </a:avLst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</xdr:row>
      <xdr:rowOff>95250</xdr:rowOff>
    </xdr:from>
    <xdr:to>
      <xdr:col>11</xdr:col>
      <xdr:colOff>0</xdr:colOff>
      <xdr:row>5</xdr:row>
      <xdr:rowOff>95250</xdr:rowOff>
    </xdr:to>
    <xdr:cxnSp macro="">
      <xdr:nvCxnSpPr>
        <xdr:cNvPr id="13" name="Elbow Connector 12"/>
        <xdr:cNvCxnSpPr/>
      </xdr:nvCxnSpPr>
      <xdr:spPr>
        <a:xfrm flipV="1">
          <a:off x="4991100" y="857250"/>
          <a:ext cx="4381500" cy="190500"/>
        </a:xfrm>
        <a:prstGeom prst="bentConnector3">
          <a:avLst>
            <a:gd name="adj1" fmla="val 93043"/>
          </a:avLst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</xdr:row>
      <xdr:rowOff>95250</xdr:rowOff>
    </xdr:from>
    <xdr:to>
      <xdr:col>11</xdr:col>
      <xdr:colOff>0</xdr:colOff>
      <xdr:row>4</xdr:row>
      <xdr:rowOff>95250</xdr:rowOff>
    </xdr:to>
    <xdr:cxnSp macro="">
      <xdr:nvCxnSpPr>
        <xdr:cNvPr id="14" name="Elbow Connector 13"/>
        <xdr:cNvCxnSpPr/>
      </xdr:nvCxnSpPr>
      <xdr:spPr>
        <a:xfrm>
          <a:off x="8763000" y="857250"/>
          <a:ext cx="609600" cy="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</xdr:row>
      <xdr:rowOff>95250</xdr:rowOff>
    </xdr:from>
    <xdr:to>
      <xdr:col>13</xdr:col>
      <xdr:colOff>0</xdr:colOff>
      <xdr:row>5</xdr:row>
      <xdr:rowOff>95250</xdr:rowOff>
    </xdr:to>
    <xdr:cxnSp macro="">
      <xdr:nvCxnSpPr>
        <xdr:cNvPr id="15" name="Elbow Connector 14"/>
        <xdr:cNvCxnSpPr/>
      </xdr:nvCxnSpPr>
      <xdr:spPr>
        <a:xfrm>
          <a:off x="4991100" y="1047750"/>
          <a:ext cx="6591300" cy="0"/>
        </a:xfrm>
        <a:prstGeom prst="bentConnector3">
          <a:avLst>
            <a:gd name="adj1" fmla="val 4624"/>
          </a:avLst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</xdr:row>
      <xdr:rowOff>95250</xdr:rowOff>
    </xdr:from>
    <xdr:to>
      <xdr:col>13</xdr:col>
      <xdr:colOff>0</xdr:colOff>
      <xdr:row>5</xdr:row>
      <xdr:rowOff>95250</xdr:rowOff>
    </xdr:to>
    <xdr:cxnSp macro="">
      <xdr:nvCxnSpPr>
        <xdr:cNvPr id="16" name="Elbow Connector 15"/>
        <xdr:cNvCxnSpPr/>
      </xdr:nvCxnSpPr>
      <xdr:spPr>
        <a:xfrm>
          <a:off x="10972800" y="857250"/>
          <a:ext cx="609600" cy="190500"/>
        </a:xfrm>
        <a:prstGeom prst="bentConnector3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1066800</xdr:colOff>
      <xdr:row>8</xdr:row>
      <xdr:rowOff>171450</xdr:rowOff>
    </xdr:from>
    <xdr:to>
      <xdr:col>13</xdr:col>
      <xdr:colOff>342900</xdr:colOff>
      <xdr:row>36</xdr:row>
      <xdr:rowOff>147638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8</xdr:row>
      <xdr:rowOff>171450</xdr:rowOff>
    </xdr:from>
    <xdr:to>
      <xdr:col>6</xdr:col>
      <xdr:colOff>581025</xdr:colOff>
      <xdr:row>23</xdr:row>
      <xdr:rowOff>107950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/>
  <dimension ref="B1:AG23"/>
  <sheetViews>
    <sheetView workbookViewId="0">
      <pane xSplit="5" topLeftCell="F1" activePane="topRight" state="frozen"/>
      <selection pane="topRight" activeCell="C25" sqref="C25"/>
    </sheetView>
  </sheetViews>
  <sheetFormatPr defaultRowHeight="15" x14ac:dyDescent="0.25"/>
  <cols>
    <col min="1" max="1" width="4" style="47" customWidth="1"/>
    <col min="2" max="2" width="10.5703125" style="46" customWidth="1"/>
    <col min="3" max="3" width="10.28515625" style="46" customWidth="1"/>
    <col min="4" max="4" width="25.7109375" style="47" customWidth="1"/>
    <col min="5" max="5" width="20" style="47" customWidth="1"/>
    <col min="6" max="9" width="11.7109375" style="48" customWidth="1"/>
    <col min="10" max="10" width="2.28515625" style="46" customWidth="1"/>
    <col min="11" max="11" width="13.42578125" style="49" customWidth="1"/>
    <col min="12" max="12" width="13.140625" style="49" customWidth="1"/>
    <col min="13" max="13" width="6.5703125" style="49" customWidth="1"/>
    <col min="14" max="14" width="2.28515625" style="49" customWidth="1"/>
    <col min="15" max="16" width="13.140625" style="49" customWidth="1"/>
    <col min="17" max="17" width="6.85546875" style="49" customWidth="1"/>
    <col min="18" max="18" width="2.28515625" style="49" customWidth="1"/>
    <col min="19" max="19" width="13.140625" style="49" customWidth="1"/>
    <col min="20" max="20" width="10.7109375" style="49" bestFit="1" customWidth="1"/>
    <col min="21" max="21" width="6.28515625" style="49" customWidth="1"/>
    <col min="22" max="22" width="2.28515625" style="49" customWidth="1"/>
    <col min="23" max="23" width="9.7109375" style="49" bestFit="1" customWidth="1"/>
    <col min="24" max="24" width="10.7109375" style="50" bestFit="1" customWidth="1"/>
    <col min="25" max="25" width="6.85546875" style="49" customWidth="1"/>
    <col min="26" max="26" width="2.28515625" style="47" customWidth="1"/>
    <col min="27" max="28" width="9.140625" style="47"/>
    <col min="29" max="29" width="9.140625" style="51"/>
    <col min="30" max="30" width="9.140625" style="52"/>
    <col min="31" max="32" width="9.140625" style="47"/>
    <col min="33" max="33" width="20.42578125" style="47" bestFit="1" customWidth="1"/>
    <col min="34" max="16384" width="9.140625" style="47"/>
  </cols>
  <sheetData>
    <row r="1" spans="2:33" s="38" customFormat="1" ht="67.5" customHeight="1" x14ac:dyDescent="0.25">
      <c r="B1" s="37"/>
      <c r="C1" s="37"/>
      <c r="F1" s="39"/>
      <c r="G1" s="39"/>
      <c r="H1" s="39"/>
      <c r="I1" s="39"/>
      <c r="J1" s="37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1"/>
      <c r="Y1" s="40"/>
      <c r="AC1" s="42"/>
      <c r="AD1" s="43"/>
    </row>
    <row r="2" spans="2:33" x14ac:dyDescent="0.25">
      <c r="B2" s="47"/>
      <c r="C2" s="47"/>
    </row>
    <row r="3" spans="2:33" x14ac:dyDescent="0.25">
      <c r="B3" s="46" t="s">
        <v>0</v>
      </c>
      <c r="C3" s="49">
        <v>42370</v>
      </c>
    </row>
    <row r="4" spans="2:33" x14ac:dyDescent="0.25">
      <c r="F4" s="67" t="s">
        <v>1</v>
      </c>
      <c r="G4" s="67"/>
      <c r="H4" s="67"/>
      <c r="I4" s="67"/>
      <c r="K4" s="74" t="s">
        <v>57</v>
      </c>
      <c r="L4" s="68"/>
      <c r="O4" s="74" t="s">
        <v>3</v>
      </c>
      <c r="P4" s="68"/>
      <c r="S4" s="74" t="s">
        <v>59</v>
      </c>
      <c r="T4" s="68"/>
      <c r="W4" s="74" t="s">
        <v>77</v>
      </c>
      <c r="X4" s="69"/>
      <c r="AA4" s="17" t="s">
        <v>60</v>
      </c>
      <c r="AB4" s="5"/>
      <c r="AC4" s="70"/>
      <c r="AD4" s="71"/>
      <c r="AE4" s="5"/>
    </row>
    <row r="5" spans="2:33" s="6" customFormat="1" x14ac:dyDescent="0.25">
      <c r="B5" s="7" t="s">
        <v>26</v>
      </c>
      <c r="C5" s="7" t="s">
        <v>27</v>
      </c>
      <c r="D5" s="6" t="s">
        <v>12</v>
      </c>
      <c r="E5" s="6" t="s">
        <v>56</v>
      </c>
      <c r="F5" s="72" t="s">
        <v>5</v>
      </c>
      <c r="G5" s="72" t="s">
        <v>3</v>
      </c>
      <c r="H5" s="72" t="s">
        <v>6</v>
      </c>
      <c r="I5" s="72" t="s">
        <v>7</v>
      </c>
      <c r="J5" s="7"/>
      <c r="K5" s="73" t="s">
        <v>25</v>
      </c>
      <c r="L5" s="73" t="s">
        <v>58</v>
      </c>
      <c r="M5" s="72"/>
      <c r="N5" s="73"/>
      <c r="O5" s="73" t="s">
        <v>25</v>
      </c>
      <c r="P5" s="73" t="s">
        <v>58</v>
      </c>
      <c r="Q5" s="72"/>
      <c r="R5" s="73"/>
      <c r="S5" s="73" t="s">
        <v>25</v>
      </c>
      <c r="T5" s="73" t="s">
        <v>58</v>
      </c>
      <c r="U5" s="72"/>
      <c r="V5" s="73"/>
      <c r="W5" s="73" t="s">
        <v>25</v>
      </c>
      <c r="X5" s="73" t="s">
        <v>58</v>
      </c>
      <c r="Y5" s="72"/>
      <c r="AA5" s="7" t="s">
        <v>2</v>
      </c>
      <c r="AB5" s="7" t="s">
        <v>4</v>
      </c>
      <c r="AC5" s="77" t="s">
        <v>8</v>
      </c>
      <c r="AD5" s="78" t="s">
        <v>30</v>
      </c>
      <c r="AE5" s="7" t="s">
        <v>64</v>
      </c>
    </row>
    <row r="6" spans="2:33" s="32" customFormat="1" x14ac:dyDescent="0.25">
      <c r="B6" s="31" t="s">
        <v>9</v>
      </c>
      <c r="C6" s="31"/>
      <c r="D6" s="32" t="s">
        <v>13</v>
      </c>
      <c r="F6" s="33"/>
      <c r="G6" s="33"/>
      <c r="H6" s="33"/>
      <c r="I6" s="33"/>
      <c r="J6" s="31"/>
      <c r="K6" s="34"/>
      <c r="L6" s="34"/>
      <c r="M6" s="33"/>
      <c r="N6" s="34"/>
      <c r="O6" s="34"/>
      <c r="P6" s="34"/>
      <c r="Q6" s="33"/>
      <c r="R6" s="34"/>
      <c r="S6" s="34"/>
      <c r="T6" s="34"/>
      <c r="U6" s="33"/>
      <c r="V6" s="34"/>
      <c r="W6" s="34"/>
      <c r="X6" s="35"/>
      <c r="Y6" s="33"/>
      <c r="AA6" s="31"/>
      <c r="AB6" s="31"/>
      <c r="AC6" s="79"/>
      <c r="AD6" s="80"/>
      <c r="AE6" s="31"/>
    </row>
    <row r="7" spans="2:33" s="23" customFormat="1" x14ac:dyDescent="0.25">
      <c r="B7" s="54"/>
      <c r="C7" s="54" t="s">
        <v>42</v>
      </c>
      <c r="D7" s="23" t="s">
        <v>15</v>
      </c>
      <c r="F7" s="55">
        <v>15</v>
      </c>
      <c r="G7" s="55">
        <v>30</v>
      </c>
      <c r="H7" s="55">
        <v>45</v>
      </c>
      <c r="I7" s="55">
        <f>ROUND( _xll.PERTValue( F7, G7, H7), 0)</f>
        <v>21</v>
      </c>
      <c r="J7" s="54"/>
      <c r="K7" s="56">
        <f>projectStartDate</f>
        <v>42370</v>
      </c>
      <c r="L7" s="56">
        <f>K7 + F7</f>
        <v>42385</v>
      </c>
      <c r="M7" s="55">
        <f>L7 - K7</f>
        <v>15</v>
      </c>
      <c r="N7" s="56"/>
      <c r="O7" s="56">
        <f>projectStartDate</f>
        <v>42370</v>
      </c>
      <c r="P7" s="56">
        <f>O7 + G7</f>
        <v>42400</v>
      </c>
      <c r="Q7" s="55">
        <f>P7 - O7</f>
        <v>30</v>
      </c>
      <c r="R7" s="56"/>
      <c r="S7" s="56">
        <f>projectStartDate</f>
        <v>42370</v>
      </c>
      <c r="T7" s="56">
        <f>S7 + H7</f>
        <v>42415</v>
      </c>
      <c r="U7" s="55">
        <f>T7 - S7</f>
        <v>45</v>
      </c>
      <c r="V7" s="56"/>
      <c r="W7" s="56">
        <f>projectStartDate</f>
        <v>42370</v>
      </c>
      <c r="X7" s="57">
        <f>W7 + I7</f>
        <v>42391</v>
      </c>
      <c r="Y7" s="55">
        <f>X7 - W7</f>
        <v>21</v>
      </c>
      <c r="AA7" s="54">
        <f>_xll.SimulationMin( Y7 )</f>
        <v>16</v>
      </c>
      <c r="AB7" s="54">
        <f>_xll.SimulationMax( Y7 )</f>
        <v>44</v>
      </c>
      <c r="AC7" s="81">
        <f>_xll.SimulationMean( Y7 )</f>
        <v>30.006</v>
      </c>
      <c r="AD7" s="82">
        <f>_xll.SimulationRSquared( calcMCDuration, Y7 )</f>
        <v>4.5626623997582931E-2</v>
      </c>
      <c r="AE7" s="54">
        <f>RANK( AD7, $AD$6:$AD$22 )</f>
        <v>6</v>
      </c>
      <c r="AF7" s="58">
        <f>_xll.SimulationCorrelation(calcMCDuration,Y7)</f>
        <v>0.21360389508991387</v>
      </c>
      <c r="AG7" s="58"/>
    </row>
    <row r="8" spans="2:33" s="26" customFormat="1" x14ac:dyDescent="0.25">
      <c r="B8" s="59"/>
      <c r="C8" s="59" t="s">
        <v>43</v>
      </c>
      <c r="D8" s="26" t="s">
        <v>16</v>
      </c>
      <c r="F8" s="60">
        <v>15</v>
      </c>
      <c r="G8" s="60">
        <v>30</v>
      </c>
      <c r="H8" s="60">
        <v>45</v>
      </c>
      <c r="I8" s="60">
        <f>ROUND( _xll.PERTValue( F8, G8, H8), 0)</f>
        <v>34</v>
      </c>
      <c r="J8" s="59"/>
      <c r="K8" s="61">
        <f>projectStartDate</f>
        <v>42370</v>
      </c>
      <c r="L8" s="61">
        <f>K8 + F8</f>
        <v>42385</v>
      </c>
      <c r="M8" s="60">
        <f>L8 - K8</f>
        <v>15</v>
      </c>
      <c r="N8" s="61"/>
      <c r="O8" s="61">
        <f>projectStartDate</f>
        <v>42370</v>
      </c>
      <c r="P8" s="61">
        <f>O8 + G8</f>
        <v>42400</v>
      </c>
      <c r="Q8" s="60">
        <f>P8 - O8</f>
        <v>30</v>
      </c>
      <c r="R8" s="61"/>
      <c r="S8" s="61">
        <f>projectStartDate</f>
        <v>42370</v>
      </c>
      <c r="T8" s="61">
        <f>S8 + H8</f>
        <v>42415</v>
      </c>
      <c r="U8" s="60">
        <f>T8 - S8</f>
        <v>45</v>
      </c>
      <c r="V8" s="61"/>
      <c r="W8" s="61">
        <f>projectStartDate</f>
        <v>42370</v>
      </c>
      <c r="X8" s="62">
        <f>W8 + I8</f>
        <v>42404</v>
      </c>
      <c r="Y8" s="60">
        <f>X8 - W8</f>
        <v>34</v>
      </c>
      <c r="AA8" s="59">
        <f>_xll.SimulationMin( Y8 )</f>
        <v>16</v>
      </c>
      <c r="AB8" s="59">
        <f>_xll.SimulationMax( Y8 )</f>
        <v>44</v>
      </c>
      <c r="AC8" s="83">
        <f>_xll.SimulationMean( Y8 )</f>
        <v>30.001999999999999</v>
      </c>
      <c r="AD8" s="84">
        <f>_xll.SimulationRSquared( calcMCDuration, Y8 )</f>
        <v>2.6699320311694929E-2</v>
      </c>
      <c r="AE8" s="59">
        <f>RANK( AD8, $AD$6:$AD$22 )</f>
        <v>8</v>
      </c>
      <c r="AF8" s="63">
        <f>_xll.SimulationCorrelation(calcMCDuration,Y8)</f>
        <v>0.16339926655800793</v>
      </c>
      <c r="AG8" s="63"/>
    </row>
    <row r="9" spans="2:33" s="23" customFormat="1" x14ac:dyDescent="0.25">
      <c r="B9" s="54"/>
      <c r="C9" s="54" t="s">
        <v>44</v>
      </c>
      <c r="D9" s="23" t="s">
        <v>14</v>
      </c>
      <c r="E9" s="23" t="s">
        <v>53</v>
      </c>
      <c r="F9" s="55">
        <v>10</v>
      </c>
      <c r="G9" s="55">
        <v>15</v>
      </c>
      <c r="H9" s="55">
        <v>30</v>
      </c>
      <c r="I9" s="55">
        <f>ROUND( _xll.PERTValue( F9, G9, H9), 0)</f>
        <v>17</v>
      </c>
      <c r="J9" s="54"/>
      <c r="K9" s="56">
        <f xml:space="preserve"> 1 + MAX( L7, L8,  )</f>
        <v>42386</v>
      </c>
      <c r="L9" s="56">
        <f>K9 + F9</f>
        <v>42396</v>
      </c>
      <c r="M9" s="55">
        <f>L9 - K9</f>
        <v>10</v>
      </c>
      <c r="N9" s="56"/>
      <c r="O9" s="56">
        <f xml:space="preserve"> 1 + MAX( P7, P8,  )</f>
        <v>42401</v>
      </c>
      <c r="P9" s="56">
        <f>O9 + G9</f>
        <v>42416</v>
      </c>
      <c r="Q9" s="55">
        <f>P9 - O9</f>
        <v>15</v>
      </c>
      <c r="R9" s="56"/>
      <c r="S9" s="56">
        <f xml:space="preserve"> 1 + MAX( T7, T8,  )</f>
        <v>42416</v>
      </c>
      <c r="T9" s="56">
        <f>S9 + H9</f>
        <v>42446</v>
      </c>
      <c r="U9" s="55">
        <f>T9 - S9</f>
        <v>30</v>
      </c>
      <c r="V9" s="56"/>
      <c r="W9" s="56">
        <f xml:space="preserve"> 1 + MAX( X7, X8,  )</f>
        <v>42405</v>
      </c>
      <c r="X9" s="57">
        <f>W9 + I9</f>
        <v>42422</v>
      </c>
      <c r="Y9" s="55">
        <f>X9 - W9</f>
        <v>17</v>
      </c>
      <c r="AA9" s="54">
        <f>_xll.SimulationMin( Y9 )</f>
        <v>10</v>
      </c>
      <c r="AB9" s="54">
        <f>_xll.SimulationMax( Y9 )</f>
        <v>28</v>
      </c>
      <c r="AC9" s="81">
        <f>_xll.SimulationMean( Y9 )</f>
        <v>16.664000000000001</v>
      </c>
      <c r="AD9" s="82">
        <f>_xll.SimulationRSquared( calcMCDuration, Y9 )</f>
        <v>4.3367746494818352E-2</v>
      </c>
      <c r="AE9" s="54">
        <f>RANK( AD9, $AD$6:$AD$22 )</f>
        <v>7</v>
      </c>
      <c r="AF9" s="58">
        <f>_xll.SimulationCorrelation(calcMCDuration,Y9)</f>
        <v>0.20824924128269556</v>
      </c>
      <c r="AG9" s="58"/>
    </row>
    <row r="10" spans="2:33" x14ac:dyDescent="0.25">
      <c r="M10" s="48"/>
      <c r="Q10" s="48"/>
      <c r="U10" s="48"/>
      <c r="Y10" s="48"/>
      <c r="AA10" s="46"/>
      <c r="AB10" s="46"/>
      <c r="AC10" s="85"/>
      <c r="AD10" s="86"/>
      <c r="AE10" s="46"/>
      <c r="AF10" s="52"/>
      <c r="AG10" s="52"/>
    </row>
    <row r="11" spans="2:33" s="32" customFormat="1" x14ac:dyDescent="0.25">
      <c r="B11" s="31" t="s">
        <v>10</v>
      </c>
      <c r="C11" s="31"/>
      <c r="D11" s="32" t="s">
        <v>17</v>
      </c>
      <c r="F11" s="33"/>
      <c r="G11" s="33"/>
      <c r="H11" s="33"/>
      <c r="I11" s="33"/>
      <c r="J11" s="31"/>
      <c r="K11" s="34"/>
      <c r="L11" s="34"/>
      <c r="M11" s="33"/>
      <c r="N11" s="34"/>
      <c r="O11" s="34"/>
      <c r="P11" s="34"/>
      <c r="Q11" s="33"/>
      <c r="R11" s="34"/>
      <c r="S11" s="34"/>
      <c r="T11" s="34"/>
      <c r="U11" s="33"/>
      <c r="V11" s="34"/>
      <c r="W11" s="34"/>
      <c r="X11" s="35"/>
      <c r="Y11" s="33"/>
      <c r="AA11" s="31"/>
      <c r="AB11" s="31"/>
      <c r="AC11" s="79"/>
      <c r="AD11" s="80"/>
      <c r="AE11" s="31"/>
      <c r="AF11" s="36"/>
      <c r="AG11" s="36"/>
    </row>
    <row r="12" spans="2:33" s="26" customFormat="1" x14ac:dyDescent="0.25">
      <c r="B12" s="59"/>
      <c r="C12" s="59" t="s">
        <v>45</v>
      </c>
      <c r="D12" s="26" t="s">
        <v>22</v>
      </c>
      <c r="E12" s="26" t="s">
        <v>44</v>
      </c>
      <c r="F12" s="60">
        <v>60</v>
      </c>
      <c r="G12" s="60">
        <v>90</v>
      </c>
      <c r="H12" s="60">
        <v>120</v>
      </c>
      <c r="I12" s="60">
        <f>ROUND( _xll.PERTValue( F12, G12, H12), 0)</f>
        <v>90</v>
      </c>
      <c r="J12" s="59"/>
      <c r="K12" s="61">
        <f xml:space="preserve"> 1 + MAX( L9,  )</f>
        <v>42397</v>
      </c>
      <c r="L12" s="61">
        <f>K12 + F12</f>
        <v>42457</v>
      </c>
      <c r="M12" s="60">
        <f>L12 - K12</f>
        <v>60</v>
      </c>
      <c r="N12" s="61"/>
      <c r="O12" s="61">
        <f xml:space="preserve"> 1 + MAX( P9,  )</f>
        <v>42417</v>
      </c>
      <c r="P12" s="61">
        <f>O12 + G12</f>
        <v>42507</v>
      </c>
      <c r="Q12" s="60">
        <f>P12 - O12</f>
        <v>90</v>
      </c>
      <c r="R12" s="61"/>
      <c r="S12" s="61">
        <f xml:space="preserve"> 1 + MAX( T9,  )</f>
        <v>42447</v>
      </c>
      <c r="T12" s="61">
        <f>S12 + H12</f>
        <v>42567</v>
      </c>
      <c r="U12" s="60">
        <f>T12 - S12</f>
        <v>120</v>
      </c>
      <c r="V12" s="61"/>
      <c r="W12" s="61">
        <f xml:space="preserve"> 1 + MAX( X9,  )</f>
        <v>42423</v>
      </c>
      <c r="X12" s="62">
        <f>W12 + I12</f>
        <v>42513</v>
      </c>
      <c r="Y12" s="60">
        <f>X12 - W12</f>
        <v>90</v>
      </c>
      <c r="AA12" s="59">
        <f>_xll.SimulationMin( Y12 )</f>
        <v>62</v>
      </c>
      <c r="AB12" s="59">
        <f>_xll.SimulationMax( Y12 )</f>
        <v>118</v>
      </c>
      <c r="AC12" s="83">
        <f>_xll.SimulationMean( Y12 )</f>
        <v>89.997</v>
      </c>
      <c r="AD12" s="84">
        <f>_xll.SimulationRSquared( calcMCDuration, Y12 )</f>
        <v>5.8921331248709394E-2</v>
      </c>
      <c r="AE12" s="59">
        <f>RANK( AD12, $AD$6:$AD$22 )</f>
        <v>5</v>
      </c>
      <c r="AF12" s="63">
        <f>_xll.SimulationCorrelation(calcMCDuration,Y12)</f>
        <v>0.24273716495153641</v>
      </c>
      <c r="AG12" s="63"/>
    </row>
    <row r="13" spans="2:33" s="23" customFormat="1" x14ac:dyDescent="0.25">
      <c r="B13" s="54"/>
      <c r="C13" s="54" t="s">
        <v>46</v>
      </c>
      <c r="D13" s="23" t="s">
        <v>23</v>
      </c>
      <c r="E13" s="23" t="s">
        <v>44</v>
      </c>
      <c r="F13" s="55">
        <v>60</v>
      </c>
      <c r="G13" s="55">
        <v>90</v>
      </c>
      <c r="H13" s="55">
        <v>120</v>
      </c>
      <c r="I13" s="55">
        <f>ROUND( _xll.PERTValue( F13, G13, H13), 0)</f>
        <v>106</v>
      </c>
      <c r="J13" s="54"/>
      <c r="K13" s="56">
        <f xml:space="preserve"> 1 + MAX( L9,  )</f>
        <v>42397</v>
      </c>
      <c r="L13" s="56">
        <f>K13 + F13</f>
        <v>42457</v>
      </c>
      <c r="M13" s="55">
        <f>L13 - K13</f>
        <v>60</v>
      </c>
      <c r="N13" s="56"/>
      <c r="O13" s="56">
        <f xml:space="preserve"> 1 + MAX( P9,  )</f>
        <v>42417</v>
      </c>
      <c r="P13" s="56">
        <f>O13 + G13</f>
        <v>42507</v>
      </c>
      <c r="Q13" s="55">
        <f>P13 - O13</f>
        <v>90</v>
      </c>
      <c r="R13" s="56"/>
      <c r="S13" s="56">
        <f xml:space="preserve"> 1 + MAX( T9,  )</f>
        <v>42447</v>
      </c>
      <c r="T13" s="56">
        <f>S13 + H13</f>
        <v>42567</v>
      </c>
      <c r="U13" s="55">
        <f>T13 - S13</f>
        <v>120</v>
      </c>
      <c r="V13" s="56"/>
      <c r="W13" s="56">
        <f xml:space="preserve"> 1 + MAX( X9,  )</f>
        <v>42423</v>
      </c>
      <c r="X13" s="57">
        <f>W13 + I13</f>
        <v>42529</v>
      </c>
      <c r="Y13" s="55">
        <f>X13 - W13</f>
        <v>106</v>
      </c>
      <c r="AA13" s="54">
        <f>_xll.SimulationMin( Y13 )</f>
        <v>61</v>
      </c>
      <c r="AB13" s="54">
        <f>_xll.SimulationMax( Y13 )</f>
        <v>118</v>
      </c>
      <c r="AC13" s="81">
        <f>_xll.SimulationMean( Y13 )</f>
        <v>89.995999999999995</v>
      </c>
      <c r="AD13" s="82">
        <f>_xll.SimulationRSquared( calcMCDuration, Y13 )</f>
        <v>0.10706931279518836</v>
      </c>
      <c r="AE13" s="54">
        <f>RANK( AD13, $AD$6:$AD$22 )</f>
        <v>4</v>
      </c>
      <c r="AF13" s="58">
        <f>_xll.SimulationCorrelation(calcMCDuration,Y13)</f>
        <v>0.3272144752225799</v>
      </c>
      <c r="AG13" s="58"/>
    </row>
    <row r="14" spans="2:33" s="26" customFormat="1" x14ac:dyDescent="0.25">
      <c r="B14" s="59"/>
      <c r="C14" s="59" t="s">
        <v>47</v>
      </c>
      <c r="D14" s="26" t="s">
        <v>24</v>
      </c>
      <c r="E14" s="26" t="s">
        <v>44</v>
      </c>
      <c r="F14" s="60">
        <v>30</v>
      </c>
      <c r="G14" s="60">
        <v>45</v>
      </c>
      <c r="H14" s="60">
        <v>100</v>
      </c>
      <c r="I14" s="60">
        <f>ROUND( _xll.PERTValue( F14, G14, H14), 0)</f>
        <v>53</v>
      </c>
      <c r="J14" s="59"/>
      <c r="K14" s="61">
        <f xml:space="preserve"> 1 + MAX( L9,  )</f>
        <v>42397</v>
      </c>
      <c r="L14" s="61">
        <f>K14 + F14</f>
        <v>42427</v>
      </c>
      <c r="M14" s="60">
        <f>L14 - K14</f>
        <v>30</v>
      </c>
      <c r="N14" s="61"/>
      <c r="O14" s="61">
        <f xml:space="preserve"> 1 + MAX( P9,  )</f>
        <v>42417</v>
      </c>
      <c r="P14" s="61">
        <f>O14 + G14</f>
        <v>42462</v>
      </c>
      <c r="Q14" s="60">
        <f>P14 - O14</f>
        <v>45</v>
      </c>
      <c r="R14" s="61"/>
      <c r="S14" s="61">
        <f xml:space="preserve"> 1 + MAX( T9,  )</f>
        <v>42447</v>
      </c>
      <c r="T14" s="61">
        <f>S14 + H14</f>
        <v>42547</v>
      </c>
      <c r="U14" s="60">
        <f>T14 - S14</f>
        <v>100</v>
      </c>
      <c r="V14" s="61"/>
      <c r="W14" s="61">
        <f xml:space="preserve"> 1 + MAX( X9,  )</f>
        <v>42423</v>
      </c>
      <c r="X14" s="62">
        <f>W14 + I14</f>
        <v>42476</v>
      </c>
      <c r="Y14" s="60">
        <f>X14 - W14</f>
        <v>53</v>
      </c>
      <c r="AA14" s="59">
        <f>_xll.SimulationMin( Y14 )</f>
        <v>30</v>
      </c>
      <c r="AB14" s="59">
        <f>_xll.SimulationMax( Y14 )</f>
        <v>92</v>
      </c>
      <c r="AC14" s="83">
        <f>_xll.SimulationMean( Y14 )</f>
        <v>51.67</v>
      </c>
      <c r="AD14" s="84">
        <f>_xll.SimulationRSquared( calcMCDuration, Y14 )</f>
        <v>4.3473435152098184E-3</v>
      </c>
      <c r="AE14" s="59">
        <f>RANK( AD14, $AD$6:$AD$22 )</f>
        <v>10</v>
      </c>
      <c r="AF14" s="63">
        <f>_xll.SimulationCorrelation(calcMCDuration,Y14)</f>
        <v>6.5934387956587709E-2</v>
      </c>
      <c r="AG14" s="63"/>
    </row>
    <row r="15" spans="2:33" x14ac:dyDescent="0.25">
      <c r="M15" s="48"/>
      <c r="Q15" s="48"/>
      <c r="U15" s="48"/>
      <c r="Y15" s="48"/>
      <c r="AA15" s="46"/>
      <c r="AB15" s="46"/>
      <c r="AC15" s="85"/>
      <c r="AD15" s="86"/>
      <c r="AE15" s="46"/>
      <c r="AF15" s="52"/>
      <c r="AG15" s="52"/>
    </row>
    <row r="16" spans="2:33" s="32" customFormat="1" x14ac:dyDescent="0.25">
      <c r="B16" s="31" t="s">
        <v>11</v>
      </c>
      <c r="C16" s="31"/>
      <c r="D16" s="44" t="s">
        <v>18</v>
      </c>
      <c r="E16" s="44"/>
      <c r="F16" s="33"/>
      <c r="G16" s="33"/>
      <c r="H16" s="33"/>
      <c r="I16" s="33"/>
      <c r="J16" s="45"/>
      <c r="K16" s="34"/>
      <c r="L16" s="34"/>
      <c r="M16" s="33"/>
      <c r="N16" s="34"/>
      <c r="O16" s="34"/>
      <c r="P16" s="34"/>
      <c r="Q16" s="33"/>
      <c r="R16" s="34"/>
      <c r="S16" s="34"/>
      <c r="T16" s="34"/>
      <c r="U16" s="33"/>
      <c r="V16" s="34"/>
      <c r="W16" s="34"/>
      <c r="X16" s="35"/>
      <c r="Y16" s="33"/>
      <c r="AA16" s="31"/>
      <c r="AB16" s="31"/>
      <c r="AC16" s="79"/>
      <c r="AD16" s="80"/>
      <c r="AE16" s="31"/>
      <c r="AF16" s="36"/>
      <c r="AG16" s="36"/>
    </row>
    <row r="17" spans="2:33" s="23" customFormat="1" x14ac:dyDescent="0.25">
      <c r="B17" s="54"/>
      <c r="C17" s="54" t="s">
        <v>48</v>
      </c>
      <c r="D17" s="64" t="s">
        <v>29</v>
      </c>
      <c r="E17" s="64" t="s">
        <v>54</v>
      </c>
      <c r="F17" s="55">
        <v>15</v>
      </c>
      <c r="G17" s="55">
        <v>30</v>
      </c>
      <c r="H17" s="55">
        <v>60</v>
      </c>
      <c r="I17" s="55">
        <f>ROUND( _xll.PERTValue( F17, G17, H17), 0)</f>
        <v>29</v>
      </c>
      <c r="J17" s="55"/>
      <c r="K17" s="56">
        <f xml:space="preserve"> 1 + MAX( L12, L13, L14,  )</f>
        <v>42458</v>
      </c>
      <c r="L17" s="56">
        <f>K17 + F17</f>
        <v>42473</v>
      </c>
      <c r="M17" s="55">
        <f>L17 - K17</f>
        <v>15</v>
      </c>
      <c r="N17" s="56"/>
      <c r="O17" s="56">
        <f xml:space="preserve"> 1 + MAX( P12, P13, P14,  )</f>
        <v>42508</v>
      </c>
      <c r="P17" s="56">
        <f>O17 + G17</f>
        <v>42538</v>
      </c>
      <c r="Q17" s="55">
        <f>P17 - O17</f>
        <v>30</v>
      </c>
      <c r="R17" s="56"/>
      <c r="S17" s="56">
        <f xml:space="preserve"> 1 + MAX( T12, T13, T14,  )</f>
        <v>42568</v>
      </c>
      <c r="T17" s="56">
        <f>S17 + H17</f>
        <v>42628</v>
      </c>
      <c r="U17" s="55">
        <f>T17 - S17</f>
        <v>60</v>
      </c>
      <c r="V17" s="56"/>
      <c r="W17" s="56">
        <f xml:space="preserve"> 1 + MAX( X12, X13, X14,  )</f>
        <v>42530</v>
      </c>
      <c r="X17" s="57">
        <f>W17 + I17</f>
        <v>42559</v>
      </c>
      <c r="Y17" s="55">
        <f>X17 - W17</f>
        <v>29</v>
      </c>
      <c r="AA17" s="54">
        <f>_xll.SimulationMin( Y17 )</f>
        <v>16</v>
      </c>
      <c r="AB17" s="54">
        <f>_xll.SimulationMax( Y17 )</f>
        <v>56</v>
      </c>
      <c r="AC17" s="81">
        <f>_xll.SimulationMean( Y17 )</f>
        <v>32.500999999999998</v>
      </c>
      <c r="AD17" s="82">
        <f>_xll.SimulationRSquared( calcMCDuration, Y17 )</f>
        <v>0.2066885695216544</v>
      </c>
      <c r="AE17" s="54">
        <f>RANK( AD17, $AD$6:$AD$22 )</f>
        <v>3</v>
      </c>
      <c r="AF17" s="58">
        <f>_xll.SimulationCorrelation(calcMCDuration,Y17)</f>
        <v>0.45463014585666711</v>
      </c>
      <c r="AG17" s="58"/>
    </row>
    <row r="18" spans="2:33" s="26" customFormat="1" x14ac:dyDescent="0.25">
      <c r="B18" s="59"/>
      <c r="C18" s="59" t="s">
        <v>49</v>
      </c>
      <c r="D18" s="26" t="s">
        <v>19</v>
      </c>
      <c r="E18" s="26" t="s">
        <v>44</v>
      </c>
      <c r="F18" s="60">
        <v>15</v>
      </c>
      <c r="G18" s="60">
        <v>30</v>
      </c>
      <c r="H18" s="60">
        <v>60</v>
      </c>
      <c r="I18" s="60">
        <f>ROUND( _xll.PERTValue( F18, G18, H18), 0)</f>
        <v>24</v>
      </c>
      <c r="J18" s="59"/>
      <c r="K18" s="61">
        <f xml:space="preserve"> 1 + MAX( L9,  )</f>
        <v>42397</v>
      </c>
      <c r="L18" s="61">
        <f>K18 + F18</f>
        <v>42412</v>
      </c>
      <c r="M18" s="60">
        <f>L18 - K18</f>
        <v>15</v>
      </c>
      <c r="N18" s="61"/>
      <c r="O18" s="61">
        <f xml:space="preserve"> 1 + MAX( P9,  )</f>
        <v>42417</v>
      </c>
      <c r="P18" s="61">
        <f>O18 + G18</f>
        <v>42447</v>
      </c>
      <c r="Q18" s="60">
        <f>P18 - O18</f>
        <v>30</v>
      </c>
      <c r="R18" s="61"/>
      <c r="S18" s="61">
        <f xml:space="preserve"> 1 + MAX( T9,  )</f>
        <v>42447</v>
      </c>
      <c r="T18" s="61">
        <f>S18 + H18</f>
        <v>42507</v>
      </c>
      <c r="U18" s="60">
        <f>T18 - S18</f>
        <v>60</v>
      </c>
      <c r="V18" s="61"/>
      <c r="W18" s="61">
        <f xml:space="preserve"> 1 + MAX( X9,  )</f>
        <v>42423</v>
      </c>
      <c r="X18" s="62">
        <f>W18 + I18</f>
        <v>42447</v>
      </c>
      <c r="Y18" s="60">
        <f>X18 - W18</f>
        <v>24</v>
      </c>
      <c r="AA18" s="59">
        <f>_xll.SimulationMin( Y18 )</f>
        <v>16</v>
      </c>
      <c r="AB18" s="59">
        <f>_xll.SimulationMax( Y18 )</f>
        <v>56</v>
      </c>
      <c r="AC18" s="83">
        <f>_xll.SimulationMean( Y18 )</f>
        <v>32.5</v>
      </c>
      <c r="AD18" s="84">
        <f>_xll.SimulationRSquared( calcMCDuration, Y18 )</f>
        <v>8.0454326521944451E-4</v>
      </c>
      <c r="AE18" s="59">
        <f>RANK( AD18, $AD$6:$AD$22 )</f>
        <v>11</v>
      </c>
      <c r="AF18" s="63">
        <f>_xll.SimulationCorrelation(calcMCDuration,Y18)</f>
        <v>-2.8364471883316363E-2</v>
      </c>
      <c r="AG18" s="63"/>
    </row>
    <row r="19" spans="2:33" s="23" customFormat="1" x14ac:dyDescent="0.25">
      <c r="B19" s="54"/>
      <c r="C19" s="54" t="s">
        <v>50</v>
      </c>
      <c r="D19" s="23" t="s">
        <v>21</v>
      </c>
      <c r="E19" s="23" t="s">
        <v>62</v>
      </c>
      <c r="F19" s="55">
        <v>15</v>
      </c>
      <c r="G19" s="55">
        <v>30</v>
      </c>
      <c r="H19" s="55">
        <v>60</v>
      </c>
      <c r="I19" s="55">
        <f>ROUND( _xll.PERTValue( F19, G19, H19), 0)</f>
        <v>40</v>
      </c>
      <c r="J19" s="54"/>
      <c r="K19" s="56">
        <f xml:space="preserve"> 1 + MAX( L17, L9,  )</f>
        <v>42474</v>
      </c>
      <c r="L19" s="56">
        <f>K19 + F19</f>
        <v>42489</v>
      </c>
      <c r="M19" s="55">
        <f>L19 - K19</f>
        <v>15</v>
      </c>
      <c r="N19" s="56"/>
      <c r="O19" s="56">
        <f xml:space="preserve"> 1 + MAX( P17, P9,  )</f>
        <v>42539</v>
      </c>
      <c r="P19" s="56">
        <f>O19 + G19</f>
        <v>42569</v>
      </c>
      <c r="Q19" s="55">
        <f>P19 - O19</f>
        <v>30</v>
      </c>
      <c r="R19" s="56"/>
      <c r="S19" s="56">
        <f xml:space="preserve"> 1 + MAX( T17, T9,  )</f>
        <v>42629</v>
      </c>
      <c r="T19" s="56">
        <f>S19 + H19</f>
        <v>42689</v>
      </c>
      <c r="U19" s="55">
        <f>T19 - S19</f>
        <v>60</v>
      </c>
      <c r="V19" s="56"/>
      <c r="W19" s="56">
        <f xml:space="preserve"> 1 + MAX( X17, X9,  )</f>
        <v>42560</v>
      </c>
      <c r="X19" s="57">
        <f>W19 + I19</f>
        <v>42600</v>
      </c>
      <c r="Y19" s="55">
        <f>X19 - W19</f>
        <v>40</v>
      </c>
      <c r="AA19" s="54">
        <f>_xll.SimulationMin( Y19 )</f>
        <v>15</v>
      </c>
      <c r="AB19" s="54">
        <f>_xll.SimulationMax( Y19 )</f>
        <v>57</v>
      </c>
      <c r="AC19" s="81">
        <f>_xll.SimulationMean( Y19 )</f>
        <v>32.499000000000002</v>
      </c>
      <c r="AD19" s="82">
        <f>_xll.SimulationRSquared( calcMCDuration, Y19 )</f>
        <v>0.21982807804232926</v>
      </c>
      <c r="AE19" s="54">
        <f>RANK( AD19, $AD$6:$AD$22 )</f>
        <v>2</v>
      </c>
      <c r="AF19" s="58">
        <f>_xll.SimulationCorrelation(calcMCDuration,Y19)</f>
        <v>0.46885827074109426</v>
      </c>
      <c r="AG19" s="58"/>
    </row>
    <row r="20" spans="2:33" s="26" customFormat="1" x14ac:dyDescent="0.25">
      <c r="B20" s="59"/>
      <c r="C20" s="59" t="s">
        <v>51</v>
      </c>
      <c r="D20" s="26" t="s">
        <v>20</v>
      </c>
      <c r="E20" s="26" t="s">
        <v>63</v>
      </c>
      <c r="F20" s="60">
        <v>15</v>
      </c>
      <c r="G20" s="60">
        <v>30</v>
      </c>
      <c r="H20" s="60">
        <v>60</v>
      </c>
      <c r="I20" s="60">
        <f>ROUND( _xll.PERTValue( F20, G20, H20), 0)</f>
        <v>34</v>
      </c>
      <c r="J20" s="59"/>
      <c r="K20" s="61">
        <f xml:space="preserve"> 1 + MAX( L18, L19,  )</f>
        <v>42490</v>
      </c>
      <c r="L20" s="61">
        <f>K20 + F20</f>
        <v>42505</v>
      </c>
      <c r="M20" s="60">
        <f>L20 - K20</f>
        <v>15</v>
      </c>
      <c r="N20" s="61"/>
      <c r="O20" s="61">
        <f xml:space="preserve"> 1 + MAX( P18, P19,  )</f>
        <v>42570</v>
      </c>
      <c r="P20" s="61">
        <f>O20 + G20</f>
        <v>42600</v>
      </c>
      <c r="Q20" s="60">
        <f>P20 - O20</f>
        <v>30</v>
      </c>
      <c r="R20" s="61"/>
      <c r="S20" s="61">
        <f xml:space="preserve"> 1 + MAX( T18, T19,  )</f>
        <v>42690</v>
      </c>
      <c r="T20" s="61">
        <f>S20 + H20</f>
        <v>42750</v>
      </c>
      <c r="U20" s="60">
        <f>T20 - S20</f>
        <v>60</v>
      </c>
      <c r="V20" s="61"/>
      <c r="W20" s="61">
        <f xml:space="preserve"> 1 + MAX( X18, X19,  )</f>
        <v>42601</v>
      </c>
      <c r="X20" s="62">
        <f>W20 + I20</f>
        <v>42635</v>
      </c>
      <c r="Y20" s="60">
        <f>X20 - W20</f>
        <v>34</v>
      </c>
      <c r="AA20" s="59">
        <f>_xll.SimulationMin( Y20 )</f>
        <v>16</v>
      </c>
      <c r="AB20" s="59">
        <f>_xll.SimulationMax( Y20 )</f>
        <v>57</v>
      </c>
      <c r="AC20" s="83">
        <f>_xll.SimulationMean( Y20 )</f>
        <v>32.500999999999998</v>
      </c>
      <c r="AD20" s="84">
        <f>_xll.SimulationRSquared( calcMCDuration, Y20 )</f>
        <v>0.24562982049853932</v>
      </c>
      <c r="AE20" s="59">
        <f>RANK( AD20, $AD$6:$AD$22 )</f>
        <v>1</v>
      </c>
      <c r="AF20" s="63">
        <f>_xll.SimulationCorrelation(calcMCDuration,Y20)</f>
        <v>0.49561055325581932</v>
      </c>
      <c r="AG20" s="63"/>
    </row>
    <row r="21" spans="2:33" s="23" customFormat="1" x14ac:dyDescent="0.25">
      <c r="B21" s="54"/>
      <c r="C21" s="54" t="s">
        <v>52</v>
      </c>
      <c r="D21" s="23" t="s">
        <v>28</v>
      </c>
      <c r="E21" s="23" t="s">
        <v>55</v>
      </c>
      <c r="F21" s="55">
        <v>10</v>
      </c>
      <c r="G21" s="55">
        <v>15</v>
      </c>
      <c r="H21" s="55">
        <v>20</v>
      </c>
      <c r="I21" s="55">
        <f>ROUND( _xll.PERTValue( F21, G21, H21), 0)</f>
        <v>15</v>
      </c>
      <c r="J21" s="54"/>
      <c r="K21" s="56">
        <f xml:space="preserve"> 1 + MAX( L18, L20,  )</f>
        <v>42506</v>
      </c>
      <c r="L21" s="56">
        <f>K21 + F21</f>
        <v>42516</v>
      </c>
      <c r="M21" s="55">
        <f>L21 - K21</f>
        <v>10</v>
      </c>
      <c r="N21" s="56"/>
      <c r="O21" s="56">
        <f xml:space="preserve"> 1 + MAX( P18, P20,  )</f>
        <v>42601</v>
      </c>
      <c r="P21" s="56">
        <f>O21 + G21</f>
        <v>42616</v>
      </c>
      <c r="Q21" s="55">
        <f>P21 - O21</f>
        <v>15</v>
      </c>
      <c r="R21" s="56"/>
      <c r="S21" s="56">
        <f xml:space="preserve"> 1 + MAX( T18, T20,  )</f>
        <v>42751</v>
      </c>
      <c r="T21" s="56">
        <f>S21 + H21</f>
        <v>42771</v>
      </c>
      <c r="U21" s="55">
        <f>T21 - S21</f>
        <v>20</v>
      </c>
      <c r="V21" s="56"/>
      <c r="W21" s="56">
        <f xml:space="preserve"> 1 + MAX( X18, X20,  )</f>
        <v>42636</v>
      </c>
      <c r="X21" s="57">
        <f>W21 + I21</f>
        <v>42651</v>
      </c>
      <c r="Y21" s="55">
        <f>X21 - W21</f>
        <v>15</v>
      </c>
      <c r="AA21" s="54">
        <f>_xll.SimulationMin( Y21 )</f>
        <v>10</v>
      </c>
      <c r="AB21" s="54">
        <f>_xll.SimulationMax( Y21 )</f>
        <v>20</v>
      </c>
      <c r="AC21" s="81">
        <f>_xll.SimulationMean( Y21 )</f>
        <v>14.997999999999999</v>
      </c>
      <c r="AD21" s="82">
        <f>_xll.SimulationRSquared( calcMCDuration, Y21 )</f>
        <v>9.4425721524158436E-3</v>
      </c>
      <c r="AE21" s="54">
        <f>RANK( AD21, $AD$6:$AD$22 )</f>
        <v>9</v>
      </c>
      <c r="AF21" s="58">
        <f>_xll.SimulationCorrelation(calcMCDuration,Y21)</f>
        <v>9.7172898240280164E-2</v>
      </c>
      <c r="AG21" s="58"/>
    </row>
    <row r="22" spans="2:33" ht="15.75" thickBot="1" x14ac:dyDescent="0.3">
      <c r="B22" s="53"/>
      <c r="L22" s="65"/>
      <c r="M22" s="48"/>
      <c r="P22" s="65"/>
      <c r="Q22" s="48"/>
      <c r="T22" s="65"/>
      <c r="U22" s="48"/>
      <c r="X22" s="66"/>
      <c r="Y22" s="48"/>
      <c r="AA22" s="46"/>
      <c r="AB22" s="46"/>
      <c r="AC22" s="85"/>
      <c r="AD22" s="86"/>
      <c r="AE22" s="46"/>
    </row>
    <row r="23" spans="2:33" ht="15.75" thickTop="1" x14ac:dyDescent="0.25">
      <c r="B23" s="75" t="s">
        <v>61</v>
      </c>
      <c r="L23" s="49">
        <f>MAX( L1:L21 )</f>
        <v>42516</v>
      </c>
      <c r="M23" s="48">
        <f>L23 - projectStartDate</f>
        <v>146</v>
      </c>
      <c r="P23" s="49">
        <f>MAX( P1:P21 )</f>
        <v>42616</v>
      </c>
      <c r="Q23" s="48">
        <f>P23 - projectStartDate</f>
        <v>246</v>
      </c>
      <c r="T23" s="49">
        <f>MAX( T1:T21 )</f>
        <v>42771</v>
      </c>
      <c r="U23" s="48">
        <f>T23 - projectStartDate</f>
        <v>401</v>
      </c>
      <c r="X23" s="50">
        <f>MAX( X1:X21 )</f>
        <v>42651</v>
      </c>
      <c r="Y23" s="48">
        <f>X23 - projectStartDate</f>
        <v>281</v>
      </c>
      <c r="AA23" s="46">
        <f>_xll.SimulationMin( Y23 )</f>
        <v>203</v>
      </c>
      <c r="AB23" s="46">
        <f>_xll.SimulationMax( Y23 )</f>
        <v>337</v>
      </c>
      <c r="AC23" s="85">
        <f>_xll.SimulationMean( Y23 )</f>
        <v>265.11399999999998</v>
      </c>
      <c r="AD23" s="86"/>
      <c r="AE23" s="46"/>
    </row>
  </sheetData>
  <pageMargins left="0.7" right="0.7" top="0.75" bottom="0.75" header="0.3" footer="0.3"/>
  <pageSetup orientation="portrait" horizontalDpi="0" verticalDpi="0" r:id="rId1"/>
  <ignoredErrors>
    <ignoredError sqref="L23 P23 T23 X23 AE7 AE8:AE2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B1:N43"/>
  <sheetViews>
    <sheetView tabSelected="1" workbookViewId="0">
      <pane ySplit="7" topLeftCell="A8" activePane="bottomLeft" state="frozen"/>
      <selection pane="bottomLeft" activeCell="J46" sqref="J46"/>
    </sheetView>
  </sheetViews>
  <sheetFormatPr defaultRowHeight="15" x14ac:dyDescent="0.25"/>
  <cols>
    <col min="1" max="1" width="9.140625" style="1"/>
    <col min="2" max="2" width="16.7109375" style="1" bestFit="1" customWidth="1"/>
    <col min="3" max="3" width="9.140625" style="1"/>
    <col min="4" max="4" width="11.85546875" style="1" bestFit="1" customWidth="1"/>
    <col min="5" max="5" width="9.140625" style="1"/>
    <col min="6" max="6" width="18.85546875" style="1" bestFit="1" customWidth="1"/>
    <col min="7" max="7" width="9.85546875" style="1" customWidth="1"/>
    <col min="8" max="8" width="19.5703125" style="1" bestFit="1" customWidth="1"/>
    <col min="9" max="9" width="9.140625" style="1"/>
    <col min="10" max="10" width="18.7109375" style="1" bestFit="1" customWidth="1"/>
    <col min="11" max="11" width="9.140625" style="1"/>
    <col min="12" max="12" width="24" style="1" bestFit="1" customWidth="1"/>
    <col min="13" max="13" width="9.140625" style="1"/>
    <col min="14" max="14" width="14.42578125" style="1" bestFit="1" customWidth="1"/>
    <col min="15" max="16384" width="9.140625" style="1"/>
  </cols>
  <sheetData>
    <row r="1" spans="2:14" s="13" customFormat="1" x14ac:dyDescent="0.25"/>
    <row r="2" spans="2:14" s="13" customFormat="1" x14ac:dyDescent="0.25">
      <c r="B2" s="9" t="s">
        <v>15</v>
      </c>
      <c r="D2" s="8" t="s">
        <v>14</v>
      </c>
      <c r="F2" s="9" t="s">
        <v>22</v>
      </c>
      <c r="H2" s="8" t="s">
        <v>29</v>
      </c>
    </row>
    <row r="3" spans="2:14" s="13" customFormat="1" x14ac:dyDescent="0.25">
      <c r="B3" s="8" t="s">
        <v>16</v>
      </c>
      <c r="F3" s="9" t="s">
        <v>23</v>
      </c>
    </row>
    <row r="4" spans="2:14" s="13" customFormat="1" x14ac:dyDescent="0.25">
      <c r="F4" s="8" t="s">
        <v>24</v>
      </c>
    </row>
    <row r="5" spans="2:14" s="13" customFormat="1" x14ac:dyDescent="0.25">
      <c r="J5" s="8" t="s">
        <v>21</v>
      </c>
      <c r="L5" s="8" t="s">
        <v>20</v>
      </c>
    </row>
    <row r="6" spans="2:14" s="13" customFormat="1" x14ac:dyDescent="0.25">
      <c r="F6" s="8" t="s">
        <v>19</v>
      </c>
      <c r="N6" s="8" t="s">
        <v>28</v>
      </c>
    </row>
    <row r="7" spans="2:14" s="14" customFormat="1" x14ac:dyDescent="0.25"/>
    <row r="26" spans="2:7" x14ac:dyDescent="0.25">
      <c r="B26" s="87" t="s">
        <v>34</v>
      </c>
      <c r="C26" s="5"/>
      <c r="D26" s="5"/>
      <c r="E26" s="16" t="s">
        <v>36</v>
      </c>
      <c r="F26" s="16" t="s">
        <v>35</v>
      </c>
      <c r="G26" s="17"/>
    </row>
    <row r="27" spans="2:7" x14ac:dyDescent="0.25">
      <c r="B27" s="88" t="s">
        <v>37</v>
      </c>
      <c r="C27" s="15"/>
      <c r="D27" s="15"/>
      <c r="E27" s="18">
        <f>calcExpectedDuration</f>
        <v>246</v>
      </c>
      <c r="F27" s="19">
        <f>'Project Schedule'!P23</f>
        <v>42616</v>
      </c>
      <c r="G27" s="18"/>
    </row>
    <row r="28" spans="2:7" x14ac:dyDescent="0.25">
      <c r="B28" s="89" t="s">
        <v>38</v>
      </c>
      <c r="C28" s="23"/>
      <c r="D28" s="23"/>
      <c r="E28" s="24">
        <f>calcBestDuration</f>
        <v>146</v>
      </c>
      <c r="F28" s="25">
        <f>'Project Schedule'!L23</f>
        <v>42516</v>
      </c>
      <c r="G28" s="24"/>
    </row>
    <row r="29" spans="2:7" x14ac:dyDescent="0.25">
      <c r="B29" s="90" t="s">
        <v>39</v>
      </c>
      <c r="C29" s="26"/>
      <c r="D29" s="26"/>
      <c r="E29" s="27">
        <f>calcWorstDuration</f>
        <v>401</v>
      </c>
      <c r="F29" s="28">
        <f>'Project Schedule'!T23</f>
        <v>42771</v>
      </c>
      <c r="G29" s="27"/>
    </row>
    <row r="30" spans="2:7" x14ac:dyDescent="0.25">
      <c r="B30" s="91"/>
      <c r="C30" s="4"/>
      <c r="D30" s="4"/>
      <c r="E30" s="20"/>
      <c r="F30" s="20"/>
      <c r="G30" s="20"/>
    </row>
    <row r="31" spans="2:7" x14ac:dyDescent="0.25">
      <c r="B31" s="87" t="s">
        <v>75</v>
      </c>
      <c r="C31" s="5"/>
      <c r="D31" s="5"/>
      <c r="E31" s="16" t="s">
        <v>36</v>
      </c>
      <c r="F31" s="16" t="s">
        <v>35</v>
      </c>
      <c r="G31" s="16" t="s">
        <v>32</v>
      </c>
    </row>
    <row r="32" spans="2:7" x14ac:dyDescent="0.25">
      <c r="B32" s="91" t="s">
        <v>76</v>
      </c>
      <c r="E32" s="20">
        <f>E27</f>
        <v>246</v>
      </c>
      <c r="F32" s="21">
        <f>F27</f>
        <v>42616</v>
      </c>
      <c r="G32" s="22">
        <f>_xll.SimulationInterval(calcMCDuration,,E32)</f>
        <v>0.16400000000000001</v>
      </c>
    </row>
    <row r="33" spans="2:7" x14ac:dyDescent="0.25">
      <c r="B33" s="90" t="s">
        <v>40</v>
      </c>
      <c r="C33" s="26"/>
      <c r="D33" s="26"/>
      <c r="E33" s="27">
        <f>CEILING(E32*1.1,1)</f>
        <v>271</v>
      </c>
      <c r="F33" s="28">
        <f>E33+projectStartDate</f>
        <v>42641</v>
      </c>
      <c r="G33" s="29">
        <f>_xll.SimulationInterval(calcMCDuration,,E33)</f>
        <v>0.628</v>
      </c>
    </row>
    <row r="34" spans="2:7" x14ac:dyDescent="0.25">
      <c r="B34" s="89" t="s">
        <v>41</v>
      </c>
      <c r="C34" s="23"/>
      <c r="D34" s="23"/>
      <c r="E34" s="24">
        <f>CEILING(E32*1.2,1)</f>
        <v>296</v>
      </c>
      <c r="F34" s="25">
        <f>E34+projectStartDate</f>
        <v>42666</v>
      </c>
      <c r="G34" s="30">
        <f>_xll.SimulationInterval(calcMCDuration,,E34)</f>
        <v>0.95399999999999996</v>
      </c>
    </row>
    <row r="35" spans="2:7" x14ac:dyDescent="0.25">
      <c r="B35" s="90"/>
      <c r="C35" s="26"/>
      <c r="D35" s="26"/>
      <c r="E35" s="26"/>
      <c r="F35" s="26"/>
      <c r="G35" s="26"/>
    </row>
    <row r="36" spans="2:7" x14ac:dyDescent="0.25">
      <c r="B36" s="91" t="s">
        <v>78</v>
      </c>
      <c r="E36" s="20">
        <f>_xll.SimulationMin(calcMCDuration)</f>
        <v>203</v>
      </c>
      <c r="F36" s="21">
        <f>E36+projectStartDate</f>
        <v>42573</v>
      </c>
    </row>
    <row r="37" spans="2:7" x14ac:dyDescent="0.25">
      <c r="B37" s="90" t="s">
        <v>79</v>
      </c>
      <c r="C37" s="26"/>
      <c r="D37" s="26"/>
      <c r="E37" s="27">
        <f>_xll.SimulationMax(calcMCDuration)</f>
        <v>337</v>
      </c>
      <c r="F37" s="28">
        <f>E37+projectStartDate</f>
        <v>42707</v>
      </c>
      <c r="G37" s="26"/>
    </row>
    <row r="38" spans="2:7" x14ac:dyDescent="0.25">
      <c r="B38" s="89" t="s">
        <v>80</v>
      </c>
      <c r="C38" s="23"/>
      <c r="D38" s="23"/>
      <c r="E38" s="76">
        <f>_xll.SimulationMean(calcMCDuration)</f>
        <v>265.11399999999998</v>
      </c>
      <c r="F38" s="25">
        <f>E38+projectStartDate</f>
        <v>42635.114000000001</v>
      </c>
      <c r="G38" s="23"/>
    </row>
    <row r="39" spans="2:7" x14ac:dyDescent="0.25">
      <c r="B39" s="91"/>
      <c r="E39" s="20"/>
      <c r="F39" s="20"/>
      <c r="G39" s="20"/>
    </row>
    <row r="40" spans="2:7" x14ac:dyDescent="0.25">
      <c r="B40" s="87" t="s">
        <v>71</v>
      </c>
      <c r="C40" s="6"/>
      <c r="D40" s="6"/>
      <c r="E40" s="16" t="s">
        <v>36</v>
      </c>
      <c r="F40" s="16" t="s">
        <v>35</v>
      </c>
      <c r="G40" s="16"/>
    </row>
    <row r="41" spans="2:7" x14ac:dyDescent="0.25">
      <c r="B41" s="88" t="s">
        <v>74</v>
      </c>
      <c r="C41" s="15"/>
      <c r="D41" s="15"/>
      <c r="E41" s="18">
        <f>_xll.SimulationPercentile(calcMCDuration, 75%)</f>
        <v>278</v>
      </c>
      <c r="F41" s="19">
        <f>E41+projectStartDate</f>
        <v>42648</v>
      </c>
      <c r="G41" s="18"/>
    </row>
    <row r="42" spans="2:7" x14ac:dyDescent="0.25">
      <c r="B42" s="89" t="s">
        <v>73</v>
      </c>
      <c r="C42" s="23"/>
      <c r="D42" s="23"/>
      <c r="E42" s="24">
        <f>_xll.SimulationPercentile(calcMCDuration, 80%)</f>
        <v>281</v>
      </c>
      <c r="F42" s="25">
        <f>E42+projectStartDate</f>
        <v>42651</v>
      </c>
      <c r="G42" s="24"/>
    </row>
    <row r="43" spans="2:7" x14ac:dyDescent="0.25">
      <c r="B43" s="90" t="s">
        <v>72</v>
      </c>
      <c r="C43" s="26"/>
      <c r="D43" s="26"/>
      <c r="E43" s="27">
        <f>_xll.SimulationPercentile(calcMCDuration, 90%)</f>
        <v>289</v>
      </c>
      <c r="F43" s="28">
        <f>E43+projectStartDate</f>
        <v>42659</v>
      </c>
      <c r="G43" s="27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I23"/>
  <sheetViews>
    <sheetView workbookViewId="0">
      <selection activeCell="H29" sqref="H29"/>
    </sheetView>
  </sheetViews>
  <sheetFormatPr defaultRowHeight="15" x14ac:dyDescent="0.25"/>
  <cols>
    <col min="1" max="1" width="6.28515625" customWidth="1"/>
    <col min="2" max="2" width="16.42578125" bestFit="1" customWidth="1"/>
    <col min="3" max="3" width="10.7109375" bestFit="1" customWidth="1"/>
    <col min="4" max="4" width="11.140625" bestFit="1" customWidth="1"/>
    <col min="5" max="5" width="7" customWidth="1"/>
    <col min="8" max="8" width="24" bestFit="1" customWidth="1"/>
    <col min="9" max="9" width="9" customWidth="1"/>
  </cols>
  <sheetData>
    <row r="2" spans="2:9" x14ac:dyDescent="0.25">
      <c r="B2" s="12" t="s">
        <v>70</v>
      </c>
      <c r="C2" s="12"/>
      <c r="D2" s="12"/>
      <c r="F2" s="11" t="s">
        <v>65</v>
      </c>
      <c r="G2" s="12"/>
      <c r="H2" s="12"/>
      <c r="I2" s="12"/>
    </row>
    <row r="3" spans="2:9" x14ac:dyDescent="0.25">
      <c r="B3" s="2" t="s">
        <v>31</v>
      </c>
      <c r="C3" s="2" t="s">
        <v>32</v>
      </c>
      <c r="D3" s="2" t="s">
        <v>33</v>
      </c>
      <c r="F3" t="s">
        <v>66</v>
      </c>
      <c r="G3" t="s">
        <v>67</v>
      </c>
      <c r="H3" t="s">
        <v>68</v>
      </c>
      <c r="I3" t="s">
        <v>69</v>
      </c>
    </row>
    <row r="4" spans="2:9" x14ac:dyDescent="0.25">
      <c r="B4">
        <f>_xll.SimulationHistogramBinLabel( calcMCDuration, 20, 1, TRUE )</f>
        <v>210</v>
      </c>
      <c r="C4" s="3">
        <f>_xll.SimulationHistogramBin( calcMCDuration, 20, 1, TRUE )/_xll.SimulationTrials()</f>
        <v>0</v>
      </c>
      <c r="D4" s="3">
        <f>SUM(C3:C3)</f>
        <v>0</v>
      </c>
      <c r="F4">
        <v>11</v>
      </c>
      <c r="G4">
        <f>MATCH(F4,'Project Schedule'!$AE$7:$AE$21,0)</f>
        <v>12</v>
      </c>
      <c r="H4" t="str">
        <f ca="1">OFFSET('Project Schedule'!$D$6,G4,0,1,1)</f>
        <v>Internal Review</v>
      </c>
      <c r="I4" s="10">
        <f ca="1">OFFSET('Project Schedule'!$AD$6,G4,0,1,1)</f>
        <v>8.0454326521944451E-4</v>
      </c>
    </row>
    <row r="5" spans="2:9" x14ac:dyDescent="0.25">
      <c r="B5">
        <f>_xll.SimulationHistogramBinLabel( calcMCDuration, 20, 2, TRUE )</f>
        <v>217</v>
      </c>
      <c r="C5" s="3">
        <f>_xll.SimulationHistogramBin( calcMCDuration, 20, 2, TRUE )/_xll.SimulationTrials()</f>
        <v>2E-3</v>
      </c>
      <c r="D5" s="3">
        <f>SUM(C3:C4)</f>
        <v>0</v>
      </c>
      <c r="F5">
        <f>F4-1</f>
        <v>10</v>
      </c>
      <c r="G5">
        <f>MATCH(F5,'Project Schedule'!$AE$7:$AE$21,0)</f>
        <v>8</v>
      </c>
      <c r="H5" t="str">
        <f ca="1">OFFSET('Project Schedule'!$D$6,G5,0,1,1)</f>
        <v>Construction: Task 3</v>
      </c>
      <c r="I5" s="10">
        <f ca="1">OFFSET('Project Schedule'!$AD$6,G5,0,1,1)</f>
        <v>4.3473435152098184E-3</v>
      </c>
    </row>
    <row r="6" spans="2:9" x14ac:dyDescent="0.25">
      <c r="B6">
        <f>_xll.SimulationHistogramBinLabel( calcMCDuration, 20, 3, TRUE )</f>
        <v>224</v>
      </c>
      <c r="C6" s="3">
        <f>_xll.SimulationHistogramBin( calcMCDuration, 20, 3, TRUE )/_xll.SimulationTrials()</f>
        <v>3.0000000000000001E-3</v>
      </c>
      <c r="D6" s="3">
        <f>SUM(C3:C5)</f>
        <v>2E-3</v>
      </c>
      <c r="F6">
        <f t="shared" ref="F6:F14" si="0">F5-1</f>
        <v>9</v>
      </c>
      <c r="G6">
        <f>MATCH(F6,'Project Schedule'!$AE$7:$AE$21,0)</f>
        <v>15</v>
      </c>
      <c r="H6" t="str">
        <f ca="1">OFFSET('Project Schedule'!$D$6,G6,0,1,1)</f>
        <v>Project Review</v>
      </c>
      <c r="I6" s="10">
        <f ca="1">OFFSET('Project Schedule'!$AD$6,G6,0,1,1)</f>
        <v>9.4425721524158436E-3</v>
      </c>
    </row>
    <row r="7" spans="2:9" x14ac:dyDescent="0.25">
      <c r="B7">
        <f>_xll.SimulationHistogramBinLabel( calcMCDuration, 20, 4, TRUE )</f>
        <v>231</v>
      </c>
      <c r="C7" s="3">
        <f>_xll.SimulationHistogramBin( calcMCDuration, 20, 4, TRUE )/_xll.SimulationTrials()</f>
        <v>0.02</v>
      </c>
      <c r="D7" s="3">
        <f>SUM(C3:C6)</f>
        <v>5.0000000000000001E-3</v>
      </c>
      <c r="F7">
        <f t="shared" si="0"/>
        <v>8</v>
      </c>
      <c r="G7">
        <f>MATCH(F7,'Project Schedule'!$AE$7:$AE$21,0)</f>
        <v>2</v>
      </c>
      <c r="H7" t="str">
        <f ca="1">OFFSET('Project Schedule'!$D$6,G7,0,1,1)</f>
        <v>Hiring Plan</v>
      </c>
      <c r="I7" s="10">
        <f ca="1">OFFSET('Project Schedule'!$AD$6,G7,0,1,1)</f>
        <v>2.6699320311694929E-2</v>
      </c>
    </row>
    <row r="8" spans="2:9" x14ac:dyDescent="0.25">
      <c r="B8">
        <f>_xll.SimulationHistogramBinLabel( calcMCDuration, 20, 5, TRUE )</f>
        <v>238</v>
      </c>
      <c r="C8" s="3">
        <f>_xll.SimulationHistogramBin( calcMCDuration, 20, 5, TRUE )/_xll.SimulationTrials()</f>
        <v>5.0999999999999997E-2</v>
      </c>
      <c r="D8" s="3">
        <f>SUM(C3:C7)</f>
        <v>2.5000000000000001E-2</v>
      </c>
      <c r="F8">
        <f t="shared" si="0"/>
        <v>7</v>
      </c>
      <c r="G8">
        <f>MATCH(F8,'Project Schedule'!$AE$7:$AE$21,0)</f>
        <v>3</v>
      </c>
      <c r="H8" t="str">
        <f ca="1">OFFSET('Project Schedule'!$D$6,G8,0,1,1)</f>
        <v>Plan Review</v>
      </c>
      <c r="I8" s="10">
        <f ca="1">OFFSET('Project Schedule'!$AD$6,G8,0,1,1)</f>
        <v>4.3367746494818352E-2</v>
      </c>
    </row>
    <row r="9" spans="2:9" x14ac:dyDescent="0.25">
      <c r="B9">
        <f>_xll.SimulationHistogramBinLabel( calcMCDuration, 20, 6, TRUE )</f>
        <v>245</v>
      </c>
      <c r="C9" s="3">
        <f>_xll.SimulationHistogramBin( calcMCDuration, 20, 6, TRUE )/_xll.SimulationTrials()</f>
        <v>7.5999999999999998E-2</v>
      </c>
      <c r="D9" s="3">
        <f>SUM(C3:C8)</f>
        <v>7.5999999999999998E-2</v>
      </c>
      <c r="F9">
        <f t="shared" si="0"/>
        <v>6</v>
      </c>
      <c r="G9">
        <f>MATCH(F9,'Project Schedule'!$AE$7:$AE$21,0)</f>
        <v>1</v>
      </c>
      <c r="H9" t="str">
        <f ca="1">OFFSET('Project Schedule'!$D$6,G9,0,1,1)</f>
        <v>Construction Plan</v>
      </c>
      <c r="I9" s="10">
        <f ca="1">OFFSET('Project Schedule'!$AD$6,G9,0,1,1)</f>
        <v>4.5626623997582931E-2</v>
      </c>
    </row>
    <row r="10" spans="2:9" x14ac:dyDescent="0.25">
      <c r="B10">
        <f>_xll.SimulationHistogramBinLabel( calcMCDuration, 20, 7, TRUE )</f>
        <v>252</v>
      </c>
      <c r="C10" s="3">
        <f>_xll.SimulationHistogramBin( calcMCDuration, 20, 7, TRUE )/_xll.SimulationTrials()</f>
        <v>9.4E-2</v>
      </c>
      <c r="D10" s="3">
        <f>SUM(C3:C9)</f>
        <v>0.152</v>
      </c>
      <c r="F10">
        <f t="shared" si="0"/>
        <v>5</v>
      </c>
      <c r="G10">
        <f>MATCH(F10,'Project Schedule'!$AE$7:$AE$21,0)</f>
        <v>6</v>
      </c>
      <c r="H10" t="str">
        <f ca="1">OFFSET('Project Schedule'!$D$6,G10,0,1,1)</f>
        <v>Construction: Task 1</v>
      </c>
      <c r="I10" s="10">
        <f ca="1">OFFSET('Project Schedule'!$AD$6,G10,0,1,1)</f>
        <v>5.8921331248709394E-2</v>
      </c>
    </row>
    <row r="11" spans="2:9" x14ac:dyDescent="0.25">
      <c r="B11">
        <f>_xll.SimulationHistogramBinLabel( calcMCDuration, 20, 8, TRUE )</f>
        <v>259</v>
      </c>
      <c r="C11" s="3">
        <f>_xll.SimulationHistogramBin( calcMCDuration, 20, 8, TRUE )/_xll.SimulationTrials()</f>
        <v>0.14799999999999999</v>
      </c>
      <c r="D11" s="3">
        <f>SUM(C3:C10)</f>
        <v>0.246</v>
      </c>
      <c r="F11">
        <f t="shared" si="0"/>
        <v>4</v>
      </c>
      <c r="G11">
        <f>MATCH(F11,'Project Schedule'!$AE$7:$AE$21,0)</f>
        <v>7</v>
      </c>
      <c r="H11" t="str">
        <f ca="1">OFFSET('Project Schedule'!$D$6,G11,0,1,1)</f>
        <v>Construction: Task 2</v>
      </c>
      <c r="I11" s="10">
        <f ca="1">OFFSET('Project Schedule'!$AD$6,G11,0,1,1)</f>
        <v>0.10706931279518836</v>
      </c>
    </row>
    <row r="12" spans="2:9" x14ac:dyDescent="0.25">
      <c r="B12">
        <f>_xll.SimulationHistogramBinLabel( calcMCDuration, 20, 9, TRUE )</f>
        <v>266</v>
      </c>
      <c r="C12" s="3">
        <f>_xll.SimulationHistogramBin( calcMCDuration, 20, 9, TRUE )/_xll.SimulationTrials()</f>
        <v>0.14699999999999999</v>
      </c>
      <c r="D12" s="3">
        <f>SUM(C3:C11)</f>
        <v>0.39400000000000002</v>
      </c>
      <c r="F12">
        <f t="shared" si="0"/>
        <v>3</v>
      </c>
      <c r="G12">
        <f>MATCH(F12,'Project Schedule'!$AE$7:$AE$21,0)</f>
        <v>11</v>
      </c>
      <c r="H12" t="str">
        <f ca="1">OFFSET('Project Schedule'!$D$6,G12,0,1,1)</f>
        <v>Construction Review</v>
      </c>
      <c r="I12" s="10">
        <f ca="1">OFFSET('Project Schedule'!$AD$6,G12,0,1,1)</f>
        <v>0.2066885695216544</v>
      </c>
    </row>
    <row r="13" spans="2:9" x14ac:dyDescent="0.25">
      <c r="B13">
        <f>_xll.SimulationHistogramBinLabel( calcMCDuration, 20, 10, TRUE )</f>
        <v>273</v>
      </c>
      <c r="C13" s="3">
        <f>_xll.SimulationHistogramBin( calcMCDuration, 20, 10, TRUE )/_xll.SimulationTrials()</f>
        <v>0.124</v>
      </c>
      <c r="D13" s="3">
        <f>SUM(C3:C12)</f>
        <v>0.54100000000000004</v>
      </c>
      <c r="F13">
        <f t="shared" si="0"/>
        <v>2</v>
      </c>
      <c r="G13">
        <f>MATCH(F13,'Project Schedule'!$AE$7:$AE$21,0)</f>
        <v>13</v>
      </c>
      <c r="H13" t="str">
        <f ca="1">OFFSET('Project Schedule'!$D$6,G13,0,1,1)</f>
        <v>Compliance Review</v>
      </c>
      <c r="I13" s="10">
        <f ca="1">OFFSET('Project Schedule'!$AD$6,G13,0,1,1)</f>
        <v>0.21982807804232926</v>
      </c>
    </row>
    <row r="14" spans="2:9" x14ac:dyDescent="0.25">
      <c r="B14">
        <f>_xll.SimulationHistogramBinLabel( calcMCDuration, 20, 11, TRUE )</f>
        <v>280</v>
      </c>
      <c r="C14" s="3">
        <f>_xll.SimulationHistogramBin( calcMCDuration, 20, 11, TRUE )/_xll.SimulationTrials()</f>
        <v>0.123</v>
      </c>
      <c r="D14" s="3">
        <f>SUM(C3:C13)</f>
        <v>0.66500000000000004</v>
      </c>
      <c r="F14">
        <f t="shared" si="0"/>
        <v>1</v>
      </c>
      <c r="G14">
        <f>MATCH(F14,'Project Schedule'!$AE$7:$AE$21,0)</f>
        <v>14</v>
      </c>
      <c r="H14" t="str">
        <f ca="1">OFFSET('Project Schedule'!$D$6,G14,0,1,1)</f>
        <v>Compliance / Completion</v>
      </c>
      <c r="I14" s="10">
        <f ca="1">OFFSET('Project Schedule'!$AD$6,G14,0,1,1)</f>
        <v>0.24562982049853932</v>
      </c>
    </row>
    <row r="15" spans="2:9" x14ac:dyDescent="0.25">
      <c r="B15">
        <f>_xll.SimulationHistogramBinLabel( calcMCDuration, 20, 12, TRUE )</f>
        <v>287</v>
      </c>
      <c r="C15" s="3">
        <f>_xll.SimulationHistogramBin( calcMCDuration, 20, 12, TRUE )/_xll.SimulationTrials()</f>
        <v>0.09</v>
      </c>
      <c r="D15" s="3">
        <f>SUM(C3:C14)</f>
        <v>0.78800000000000003</v>
      </c>
    </row>
    <row r="16" spans="2:9" x14ac:dyDescent="0.25">
      <c r="B16">
        <f>_xll.SimulationHistogramBinLabel( calcMCDuration, 20, 13, TRUE )</f>
        <v>294</v>
      </c>
      <c r="C16" s="3">
        <f>_xll.SimulationHistogramBin( calcMCDuration, 20, 13, TRUE )/_xll.SimulationTrials()</f>
        <v>6.5000000000000002E-2</v>
      </c>
      <c r="D16" s="3">
        <f>SUM(C3:C15)</f>
        <v>0.878</v>
      </c>
    </row>
    <row r="17" spans="2:4" x14ac:dyDescent="0.25">
      <c r="B17">
        <f>_xll.SimulationHistogramBinLabel( calcMCDuration, 20, 14, TRUE )</f>
        <v>301</v>
      </c>
      <c r="C17" s="3">
        <f>_xll.SimulationHistogramBin( calcMCDuration, 20, 14, TRUE )/_xll.SimulationTrials()</f>
        <v>2.9000000000000001E-2</v>
      </c>
      <c r="D17" s="3">
        <f>SUM(C3:C16)</f>
        <v>0.94300000000000006</v>
      </c>
    </row>
    <row r="18" spans="2:4" x14ac:dyDescent="0.25">
      <c r="B18">
        <f>_xll.SimulationHistogramBinLabel( calcMCDuration, 20, 15, TRUE )</f>
        <v>308</v>
      </c>
      <c r="C18" s="3">
        <f>_xll.SimulationHistogramBin( calcMCDuration, 20, 15, TRUE )/_xll.SimulationTrials()</f>
        <v>1.7000000000000001E-2</v>
      </c>
      <c r="D18" s="3">
        <f>SUM(C3:C17)</f>
        <v>0.97200000000000009</v>
      </c>
    </row>
    <row r="19" spans="2:4" x14ac:dyDescent="0.25">
      <c r="B19">
        <f>_xll.SimulationHistogramBinLabel( calcMCDuration, 20, 16, TRUE )</f>
        <v>315</v>
      </c>
      <c r="C19" s="3">
        <f>_xll.SimulationHistogramBin( calcMCDuration, 20, 16, TRUE )/_xll.SimulationTrials()</f>
        <v>5.0000000000000001E-3</v>
      </c>
      <c r="D19" s="3">
        <f>SUM(C3:C18)</f>
        <v>0.9890000000000001</v>
      </c>
    </row>
    <row r="20" spans="2:4" x14ac:dyDescent="0.25">
      <c r="B20">
        <f>_xll.SimulationHistogramBinLabel( calcMCDuration, 20, 17, TRUE )</f>
        <v>322</v>
      </c>
      <c r="C20" s="3">
        <f>_xll.SimulationHistogramBin( calcMCDuration, 20, 17, TRUE )/_xll.SimulationTrials()</f>
        <v>4.0000000000000001E-3</v>
      </c>
      <c r="D20" s="3">
        <f>SUM(C3:C19)</f>
        <v>0.99400000000000011</v>
      </c>
    </row>
    <row r="21" spans="2:4" x14ac:dyDescent="0.25">
      <c r="B21">
        <f>_xll.SimulationHistogramBinLabel( calcMCDuration, 20, 18, TRUE )</f>
        <v>329</v>
      </c>
      <c r="C21" s="3">
        <f>_xll.SimulationHistogramBin( calcMCDuration, 20, 18, TRUE )/_xll.SimulationTrials()</f>
        <v>0</v>
      </c>
      <c r="D21" s="3">
        <f>SUM(C3:C20)</f>
        <v>0.99800000000000011</v>
      </c>
    </row>
    <row r="22" spans="2:4" x14ac:dyDescent="0.25">
      <c r="B22">
        <f>_xll.SimulationHistogramBinLabel( calcMCDuration, 20, 19, TRUE )</f>
        <v>336</v>
      </c>
      <c r="C22" s="3">
        <f>_xll.SimulationHistogramBin( calcMCDuration, 20, 19, TRUE )/_xll.SimulationTrials()</f>
        <v>0</v>
      </c>
      <c r="D22" s="3">
        <f>SUM(C3:C21)</f>
        <v>0.99800000000000011</v>
      </c>
    </row>
    <row r="23" spans="2:4" x14ac:dyDescent="0.25">
      <c r="B23">
        <f>_xll.SimulationHistogramBinLabel( calcMCDuration, 20, 20, TRUE )</f>
        <v>343</v>
      </c>
      <c r="C23" s="3">
        <f>_xll.SimulationHistogramBin( calcMCDuration, 20, 20, TRUE )/_xll.SimulationTrials()</f>
        <v>1E-3</v>
      </c>
      <c r="D23" s="3">
        <f>SUM(C3:C22)</f>
        <v>0.99800000000000011</v>
      </c>
    </row>
  </sheetData>
  <pageMargins left="0.7" right="0.7" top="0.75" bottom="0.75" header="0.3" footer="0.3"/>
  <ignoredErrors>
    <ignoredError sqref="G4:G14 I4:I1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Project Schedule</vt:lpstr>
      <vt:lpstr>Report</vt:lpstr>
      <vt:lpstr>Tables</vt:lpstr>
      <vt:lpstr>calcBestDuration</vt:lpstr>
      <vt:lpstr>calcExpectedDuration</vt:lpstr>
      <vt:lpstr>calcMCDuration</vt:lpstr>
      <vt:lpstr>calcWorstDuration</vt:lpstr>
      <vt:lpstr>dependencyColumn</vt:lpstr>
      <vt:lpstr>durationBestColumn</vt:lpstr>
      <vt:lpstr>durationExpectedColumn</vt:lpstr>
      <vt:lpstr>durationSampleColumn</vt:lpstr>
      <vt:lpstr>durationWorstColumn</vt:lpstr>
      <vt:lpstr>endDateColumn</vt:lpstr>
      <vt:lpstr>headerRow</vt:lpstr>
      <vt:lpstr>MCAnalysisColumn</vt:lpstr>
      <vt:lpstr>projectIDColumn</vt:lpstr>
      <vt:lpstr>projectStartDate</vt:lpstr>
      <vt:lpstr>startBest</vt:lpstr>
      <vt:lpstr>startDateColumn</vt:lpstr>
      <vt:lpstr>startExp</vt:lpstr>
      <vt:lpstr>startMC</vt:lpstr>
      <vt:lpstr>startWorst</vt:lpstr>
      <vt:lpstr>taskIDColumn</vt:lpstr>
      <vt:lpstr>taskNameColumn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</dc:creator>
  <cp:lastModifiedBy>duncan</cp:lastModifiedBy>
  <dcterms:created xsi:type="dcterms:W3CDTF">2014-03-27T15:14:00Z</dcterms:created>
  <dcterms:modified xsi:type="dcterms:W3CDTF">2014-04-01T17:50:04Z</dcterms:modified>
</cp:coreProperties>
</file>